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ängel- und Zahlungsübersicht" sheetId="1" state="visible" r:id="rId1"/>
    <sheet xmlns:r="http://schemas.openxmlformats.org/officeDocument/2006/relationships" name="Rechtsgrundlagen &amp; Bewertung" sheetId="2" state="visible" r:id="rId2"/>
    <sheet xmlns:r="http://schemas.openxmlformats.org/officeDocument/2006/relationships" name="Dashboard - Auswertung" sheetId="3" state="visible" r:id="rId3"/>
    <sheet xmlns:r="http://schemas.openxmlformats.org/officeDocument/2006/relationships" name="Hinweise &amp; Anleitung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TT.MM.JJJJ"/>
    <numFmt numFmtId="165" formatCode="#.##0,00 &quot;€&quot;"/>
    <numFmt numFmtId="166" formatCode="0,0%"/>
  </numFmts>
  <fonts count="7">
    <font>
      <name val="Calibri"/>
      <family val="2"/>
      <color theme="1"/>
      <sz val="11"/>
      <scheme val="minor"/>
    </font>
    <font>
      <b val="1"/>
      <color rgb="001E293B"/>
      <sz val="16"/>
    </font>
    <font>
      <b val="1"/>
      <color rgb="00FFFFFF"/>
      <sz val="11"/>
    </font>
    <font>
      <sz val="10"/>
    </font>
    <font>
      <b val="1"/>
    </font>
    <font>
      <b val="1"/>
      <color rgb="00FFFFFF"/>
      <sz val="10"/>
    </font>
    <font>
      <b val="1"/>
      <sz val="10"/>
    </font>
  </fonts>
  <fills count="7">
    <fill>
      <patternFill/>
    </fill>
    <fill>
      <patternFill patternType="gray125"/>
    </fill>
    <fill>
      <patternFill patternType="solid">
        <fgColor rgb="001E293B"/>
        <bgColor rgb="001E293B"/>
      </patternFill>
    </fill>
    <fill>
      <patternFill patternType="solid">
        <fgColor rgb="00FFFBEB"/>
        <bgColor rgb="00FFFBEB"/>
      </patternFill>
    </fill>
    <fill>
      <patternFill patternType="solid">
        <fgColor rgb="00F8FAFC"/>
        <bgColor rgb="00F8FAFC"/>
      </patternFill>
    </fill>
    <fill>
      <patternFill patternType="solid">
        <fgColor rgb="00FFFFFF"/>
        <bgColor rgb="00FFFFFF"/>
      </patternFill>
    </fill>
    <fill>
      <patternFill patternType="solid">
        <fgColor rgb="00C8102E"/>
        <bgColor rgb="00C8102E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left" vertical="center" wrapText="1"/>
    </xf>
    <xf numFmtId="164" fontId="3" fillId="4" borderId="1" applyAlignment="1" pivotButton="0" quotePrefix="0" xfId="0">
      <alignment horizontal="left" vertical="center" wrapText="1"/>
    </xf>
    <xf numFmtId="165" fontId="3" fillId="3" borderId="1" applyAlignment="1" pivotButton="0" quotePrefix="0" xfId="0">
      <alignment horizontal="left" vertical="center" wrapText="1"/>
    </xf>
    <xf numFmtId="165" fontId="3" fillId="4" borderId="1" applyAlignment="1" pivotButton="0" quotePrefix="0" xfId="0">
      <alignment horizontal="left" vertical="center" wrapText="1"/>
    </xf>
    <xf numFmtId="166" fontId="3" fillId="3" borderId="1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left" vertical="center" wrapText="1"/>
    </xf>
    <xf numFmtId="0" fontId="3" fillId="5" borderId="1" applyAlignment="1" pivotButton="0" quotePrefix="0" xfId="0">
      <alignment horizontal="left" vertical="center" wrapText="1"/>
    </xf>
    <xf numFmtId="164" fontId="3" fillId="5" borderId="1" applyAlignment="1" pivotButton="0" quotePrefix="0" xfId="0">
      <alignment horizontal="left" vertical="center" wrapText="1"/>
    </xf>
    <xf numFmtId="165" fontId="3" fillId="5" borderId="1" applyAlignment="1" pivotButton="0" quotePrefix="0" xfId="0">
      <alignment horizontal="left" vertical="center" wrapText="1"/>
    </xf>
    <xf numFmtId="0" fontId="4" fillId="0" borderId="0" pivotButton="0" quotePrefix="0" xfId="0"/>
    <xf numFmtId="165" fontId="4" fillId="4" borderId="0" pivotButton="0" quotePrefix="0" xfId="0"/>
    <xf numFmtId="0" fontId="1" fillId="0" borderId="0" pivotButton="0" quotePrefix="0" xfId="0"/>
    <xf numFmtId="166" fontId="4" fillId="0" borderId="0" pivotButton="0" quotePrefix="0" xfId="0"/>
    <xf numFmtId="166" fontId="3" fillId="5" borderId="1" applyAlignment="1" pivotButton="0" quotePrefix="0" xfId="0">
      <alignment horizontal="left" vertical="center" wrapText="1"/>
    </xf>
    <xf numFmtId="0" fontId="5" fillId="6" borderId="1" applyAlignment="1" pivotButton="0" quotePrefix="0" xfId="0">
      <alignment horizontal="center" vertical="center" wrapText="1"/>
    </xf>
  </cellXfs>
  <cellStyles count="1">
    <cellStyle name="Normal" xfId="0" builtinId="0" hidden="0"/>
  </cellStyles>
  <dxfs count="3">
    <dxf>
      <font>
        <b val="1"/>
        <color rgb="00DC2626"/>
      </font>
      <fill>
        <patternFill patternType="solid">
          <fgColor rgb="00FEE2E2"/>
          <bgColor rgb="00FEE2E2"/>
        </patternFill>
      </fill>
    </dxf>
    <dxf>
      <font>
        <b val="1"/>
        <color rgb="0016A34A"/>
      </font>
      <fill>
        <patternFill patternType="solid">
          <fgColor rgb="00DCFCE7"/>
          <bgColor rgb="00DCFCE7"/>
        </patternFill>
      </fill>
    </dxf>
    <dxf>
      <fill>
        <patternFill patternType="solid">
          <fgColor rgb="00FEE2E2"/>
          <b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Offene Beträge je Stadt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'Dashboard - Auswertung'!B14</f>
            </strRef>
          </tx>
          <spPr>
            <a:solidFill xmlns:a="http://schemas.openxmlformats.org/drawingml/2006/main">
              <a:srgbClr val="1E293B"/>
            </a:solidFill>
            <a:ln xmlns:a="http://schemas.openxmlformats.org/drawingml/2006/main">
              <a:prstDash val="solid"/>
            </a:ln>
          </spPr>
          <cat>
            <numRef>
              <f>'Dashboard - Auswertung'!$A$15:$A$23</f>
            </numRef>
          </cat>
          <val>
            <numRef>
              <f>'Dashboard - Auswertung'!$B$15:$B$23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Stadt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Offener Betrag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Statusverteilung</a:t>
            </a:r>
          </a:p>
        </rich>
      </tx>
    </title>
    <plotArea>
      <pieChart>
        <varyColors val="1"/>
        <ser>
          <idx val="0"/>
          <order val="0"/>
          <tx>
            <strRef>
              <f>'Dashboard - Auswertung'!B26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 - Auswertung'!$A$27:$A$30</f>
            </numRef>
          </cat>
          <val>
            <numRef>
              <f>'Dashboard - Auswertung'!$B$27:$B$30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Zahlungseingang je Vorgang</a:t>
            </a:r>
          </a:p>
        </rich>
      </tx>
    </title>
    <plotArea>
      <lineChart>
        <grouping val="standard"/>
        <ser>
          <idx val="0"/>
          <order val="0"/>
          <tx>
            <strRef>
              <f>'Dashboard - Auswertung'!C33</f>
            </strRef>
          </tx>
          <spPr>
            <a:solidFill xmlns:a="http://schemas.openxmlformats.org/drawingml/2006/main">
              <a:srgbClr val="C8102E"/>
            </a:solidFill>
            <a:ln xmlns:a="http://schemas.openxmlformats.org/drawingml/2006/main" w="20000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'Dashboard - Auswertung'!$A$34:$A$42</f>
            </numRef>
          </cat>
          <val>
            <numRef>
              <f>'Dashboard - Auswertung'!$C$34:$C$42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Vorgangsnummer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Zahlungseingang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3</col>
      <colOff>0</colOff>
      <row>3</row>
      <rowOff>0</rowOff>
    </from>
    <ext cx="540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3</col>
      <colOff>0</colOff>
      <row>21</row>
      <rowOff>0</rowOff>
    </from>
    <ext cx="540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3</col>
      <colOff>0</colOff>
      <row>39</row>
      <rowOff>0</rowOff>
    </from>
    <ext cx="5400000" cy="324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6" customWidth="1" min="1" max="1"/>
    <col width="18" customWidth="1" min="2" max="2"/>
    <col width="22" customWidth="1" min="3" max="3"/>
    <col width="14" customWidth="1" min="4" max="4"/>
    <col width="22" customWidth="1" min="5" max="5"/>
    <col width="13" customWidth="1" min="6" max="6"/>
    <col width="16" customWidth="1" min="7" max="7"/>
    <col width="32" customWidth="1" min="8" max="8"/>
    <col width="13" customWidth="1" min="9" max="9"/>
    <col width="15" customWidth="1" min="10" max="10"/>
    <col width="18" customWidth="1" min="11" max="11"/>
    <col width="12" customWidth="1" min="12" max="12"/>
    <col width="12" customWidth="1" min="13" max="13"/>
    <col width="14" customWidth="1" min="14" max="14"/>
    <col width="14" customWidth="1" min="15" max="15"/>
    <col width="15" customWidth="1" min="16" max="16"/>
    <col width="18" customWidth="1" min="17" max="17"/>
    <col width="15" customWidth="1" min="18" max="18"/>
    <col width="14" customWidth="1" min="19" max="19"/>
    <col width="14" customWidth="1" min="20" max="20"/>
    <col width="28" customWidth="1" min="21" max="21"/>
  </cols>
  <sheetData>
    <row r="1" ht="26" customHeight="1">
      <c r="A1" s="1" t="inlineStr">
        <is>
          <t>Zurückbehaltungsrecht bei Miete – Mängel- und Zahlungsübersicht 2026</t>
        </is>
      </c>
    </row>
    <row r="2"/>
    <row r="3">
      <c r="A3" s="2" t="inlineStr">
        <is>
          <t>Vorgangsnummer</t>
        </is>
      </c>
      <c r="B3" s="2" t="inlineStr">
        <is>
          <t>Mieter/in</t>
        </is>
      </c>
      <c r="C3" s="2" t="inlineStr">
        <is>
          <t>Objektadresse</t>
        </is>
      </c>
      <c r="D3" s="2" t="inlineStr">
        <is>
          <t>Stadt</t>
        </is>
      </c>
      <c r="E3" s="2" t="inlineStr">
        <is>
          <t>Vermieter/in</t>
        </is>
      </c>
      <c r="F3" s="2" t="inlineStr">
        <is>
          <t>Mietbeginn</t>
        </is>
      </c>
      <c r="G3" s="2" t="inlineStr">
        <is>
          <t>Mangelart</t>
        </is>
      </c>
      <c r="H3" s="2" t="inlineStr">
        <is>
          <t>Mangelbeschreibung</t>
        </is>
      </c>
      <c r="I3" s="2" t="inlineStr">
        <is>
          <t>Meldedatum</t>
        </is>
      </c>
      <c r="J3" s="2" t="inlineStr">
        <is>
          <t>Frist gesetzt bis</t>
        </is>
      </c>
      <c r="K3" s="2" t="inlineStr">
        <is>
          <t>Reaktion Vermieter</t>
        </is>
      </c>
      <c r="L3" s="2" t="inlineStr">
        <is>
          <t>Miete kalt (€)</t>
        </is>
      </c>
      <c r="M3" s="2" t="inlineStr">
        <is>
          <t>Nebenkosten (€)</t>
        </is>
      </c>
      <c r="N3" s="2" t="inlineStr">
        <is>
          <t>Gesamtmiete (€)</t>
        </is>
      </c>
      <c r="O3" s="2" t="inlineStr">
        <is>
          <t>Minderungsquote (%)</t>
        </is>
      </c>
      <c r="P3" s="2" t="inlineStr">
        <is>
          <t>Minderung Betrag (€)</t>
        </is>
      </c>
      <c r="Q3" s="2" t="inlineStr">
        <is>
          <t>Zurückbehalten Betrag (€)</t>
        </is>
      </c>
      <c r="R3" s="2" t="inlineStr">
        <is>
          <t>Zahlungseingang (€)</t>
        </is>
      </c>
      <c r="S3" s="2" t="inlineStr">
        <is>
          <t>Offener Betrag (€)</t>
        </is>
      </c>
      <c r="T3" s="2" t="inlineStr">
        <is>
          <t>Status</t>
        </is>
      </c>
      <c r="U3" s="2" t="inlineStr">
        <is>
          <t>Bemerkung</t>
        </is>
      </c>
    </row>
    <row r="4">
      <c r="A4" s="3" t="inlineStr">
        <is>
          <t>V-2026-001</t>
        </is>
      </c>
      <c r="B4" s="3" t="inlineStr">
        <is>
          <t>Thomas Müller</t>
        </is>
      </c>
      <c r="C4" s="3" t="inlineStr">
        <is>
          <t>Alexanderstraße 12</t>
        </is>
      </c>
      <c r="D4" s="3" t="inlineStr">
        <is>
          <t>Berlin</t>
        </is>
      </c>
      <c r="E4" s="3" t="inlineStr">
        <is>
          <t>Immo Berlin GmbH</t>
        </is>
      </c>
      <c r="F4" s="4" t="inlineStr">
        <is>
          <t>01.03.2023</t>
        </is>
      </c>
      <c r="G4" s="3" t="inlineStr">
        <is>
          <t>Wasserschaden</t>
        </is>
      </c>
      <c r="H4" s="3" t="inlineStr">
        <is>
          <t>Wasserschaden im Bad, Wand durchfeuchtet</t>
        </is>
      </c>
      <c r="I4" s="4" t="inlineStr">
        <is>
          <t>12.02.2026</t>
        </is>
      </c>
      <c r="J4" s="4" t="inlineStr">
        <is>
          <t>26.02.2026</t>
        </is>
      </c>
      <c r="K4" s="3" t="inlineStr">
        <is>
          <t>Keine</t>
        </is>
      </c>
      <c r="L4" s="5" t="n">
        <v>850</v>
      </c>
      <c r="M4" s="5" t="n">
        <v>220</v>
      </c>
      <c r="N4" s="6">
        <f>L4+M4</f>
        <v/>
      </c>
      <c r="O4" s="7" t="n">
        <v>0.2</v>
      </c>
      <c r="P4" s="6">
        <f>N4*O4</f>
        <v/>
      </c>
      <c r="Q4" s="6">
        <f>IF(T4="Zurückbehalten",MIN(N4-P4,N4*0.5),0)</f>
        <v/>
      </c>
      <c r="R4" s="5" t="n">
        <v>0</v>
      </c>
      <c r="S4" s="6">
        <f>MAX(N4-P4-R4-Q4,0)</f>
        <v/>
      </c>
      <c r="T4" s="8" t="inlineStr">
        <is>
          <t>Eskaliert</t>
        </is>
      </c>
      <c r="U4" s="3" t="inlineStr">
        <is>
          <t>Ausstehend – Wasserschaden</t>
        </is>
      </c>
    </row>
    <row r="5">
      <c r="A5" s="9" t="inlineStr">
        <is>
          <t>V-2026-002</t>
        </is>
      </c>
      <c r="B5" s="9" t="inlineStr">
        <is>
          <t>Sabine Schneider</t>
        </is>
      </c>
      <c r="C5" s="9" t="inlineStr">
        <is>
          <t>Leopoldstraße 45</t>
        </is>
      </c>
      <c r="D5" s="9" t="inlineStr">
        <is>
          <t>München</t>
        </is>
      </c>
      <c r="E5" s="9" t="inlineStr">
        <is>
          <t>Wohnbau München AG</t>
        </is>
      </c>
      <c r="F5" s="10" t="inlineStr">
        <is>
          <t>15.06.2021</t>
        </is>
      </c>
      <c r="G5" s="9" t="inlineStr">
        <is>
          <t>Heizungsausfall</t>
        </is>
      </c>
      <c r="H5" s="9" t="inlineStr">
        <is>
          <t>Heizung fällt seit Wochen aus, kalte Wohnung</t>
        </is>
      </c>
      <c r="I5" s="10" t="inlineStr">
        <is>
          <t>03.01.2026</t>
        </is>
      </c>
      <c r="J5" s="10" t="inlineStr">
        <is>
          <t>10.01.2026</t>
        </is>
      </c>
      <c r="K5" s="9" t="inlineStr">
        <is>
          <t>Zusage</t>
        </is>
      </c>
      <c r="L5" s="5" t="n">
        <v>1450</v>
      </c>
      <c r="M5" s="5" t="n">
        <v>380</v>
      </c>
      <c r="N5" s="11">
        <f>L5+M5</f>
        <v/>
      </c>
      <c r="O5" s="7" t="n">
        <v>0.3</v>
      </c>
      <c r="P5" s="11">
        <f>N5*O5</f>
        <v/>
      </c>
      <c r="Q5" s="11">
        <f>IF(T5="Zurückbehalten",MIN(N5-P5,N5*0.5),0)</f>
        <v/>
      </c>
      <c r="R5" s="5" t="n">
        <v>300</v>
      </c>
      <c r="S5" s="11">
        <f>MAX(N5-P5-R5-Q5,0)</f>
        <v/>
      </c>
      <c r="T5" s="8" t="inlineStr">
        <is>
          <t>Zurückbehalten</t>
        </is>
      </c>
      <c r="U5" s="9" t="inlineStr">
        <is>
          <t>Teilweise – Heizungsausfall</t>
        </is>
      </c>
    </row>
    <row r="6">
      <c r="A6" s="3" t="inlineStr">
        <is>
          <t>V-2026-003</t>
        </is>
      </c>
      <c r="B6" s="3" t="inlineStr">
        <is>
          <t>Michael Fischer</t>
        </is>
      </c>
      <c r="C6" s="3" t="inlineStr">
        <is>
          <t>Speicherstraße 8</t>
        </is>
      </c>
      <c r="D6" s="3" t="inlineStr">
        <is>
          <t>Hamburg</t>
        </is>
      </c>
      <c r="E6" s="3" t="inlineStr">
        <is>
          <t>Hansestadt Wohnen KG</t>
        </is>
      </c>
      <c r="F6" s="4" t="inlineStr">
        <is>
          <t>01.09.2022</t>
        </is>
      </c>
      <c r="G6" s="3" t="inlineStr">
        <is>
          <t>Schimmel</t>
        </is>
      </c>
      <c r="H6" s="3" t="inlineStr">
        <is>
          <t>Schimmelbefall im Schlafzimmer, Gesundheitsgefahr</t>
        </is>
      </c>
      <c r="I6" s="4" t="inlineStr">
        <is>
          <t>20.01.2026</t>
        </is>
      </c>
      <c r="J6" s="4" t="inlineStr">
        <is>
          <t>03.02.2026</t>
        </is>
      </c>
      <c r="K6" s="3" t="inlineStr">
        <is>
          <t>Keine</t>
        </is>
      </c>
      <c r="L6" s="5" t="n">
        <v>980</v>
      </c>
      <c r="M6" s="5" t="n">
        <v>260</v>
      </c>
      <c r="N6" s="6">
        <f>L6+M6</f>
        <v/>
      </c>
      <c r="O6" s="7" t="n">
        <v>0.25</v>
      </c>
      <c r="P6" s="6">
        <f>N6*O6</f>
        <v/>
      </c>
      <c r="Q6" s="6">
        <f>IF(T6="Zurückbehalten",MIN(N6-P6,N6*0.5),0)</f>
        <v/>
      </c>
      <c r="R6" s="5" t="n">
        <v>0</v>
      </c>
      <c r="S6" s="6">
        <f>MAX(N6-P6-R6-Q6,0)</f>
        <v/>
      </c>
      <c r="T6" s="8" t="inlineStr">
        <is>
          <t>Eskaliert</t>
        </is>
      </c>
      <c r="U6" s="3" t="inlineStr">
        <is>
          <t>Ausstehend – Schimmel</t>
        </is>
      </c>
    </row>
    <row r="7">
      <c r="A7" s="9" t="inlineStr">
        <is>
          <t>V-2026-004</t>
        </is>
      </c>
      <c r="B7" s="9" t="inlineStr">
        <is>
          <t>Andrea Weber</t>
        </is>
      </c>
      <c r="C7" s="9" t="inlineStr">
        <is>
          <t>Ringstraße 3</t>
        </is>
      </c>
      <c r="D7" s="9" t="inlineStr">
        <is>
          <t>Köln</t>
        </is>
      </c>
      <c r="E7" s="9" t="inlineStr">
        <is>
          <t>Rheinland Immobilien</t>
        </is>
      </c>
      <c r="F7" s="10" t="inlineStr">
        <is>
          <t>01.05.2020</t>
        </is>
      </c>
      <c r="G7" s="9" t="inlineStr">
        <is>
          <t>Elektrikdefekt</t>
        </is>
      </c>
      <c r="H7" s="9" t="inlineStr">
        <is>
          <t>Defekte Elektrik, Sicherung löst ständig aus</t>
        </is>
      </c>
      <c r="I7" s="10" t="inlineStr">
        <is>
          <t>05.02.2026</t>
        </is>
      </c>
      <c r="J7" s="10" t="inlineStr">
        <is>
          <t>19.02.2026</t>
        </is>
      </c>
      <c r="K7" s="9" t="inlineStr">
        <is>
          <t>Teilweise erledigt</t>
        </is>
      </c>
      <c r="L7" s="5" t="n">
        <v>720</v>
      </c>
      <c r="M7" s="5" t="n">
        <v>190</v>
      </c>
      <c r="N7" s="11">
        <f>L7+M7</f>
        <v/>
      </c>
      <c r="O7" s="7" t="n">
        <v>0.15</v>
      </c>
      <c r="P7" s="11">
        <f>N7*O7</f>
        <v/>
      </c>
      <c r="Q7" s="11">
        <f>IF(T7="Zurückbehalten",MIN(N7-P7,N7*0.5),0)</f>
        <v/>
      </c>
      <c r="R7" s="5" t="n">
        <v>500</v>
      </c>
      <c r="S7" s="11">
        <f>MAX(N7-P7-R7-Q7,0)</f>
        <v/>
      </c>
      <c r="T7" s="8" t="inlineStr">
        <is>
          <t>Zurückbehalten</t>
        </is>
      </c>
      <c r="U7" s="9" t="inlineStr">
        <is>
          <t>Teilweise – Elektrikdefekt</t>
        </is>
      </c>
    </row>
    <row r="8">
      <c r="A8" s="3" t="inlineStr">
        <is>
          <t>V-2026-005</t>
        </is>
      </c>
      <c r="B8" s="3" t="inlineStr">
        <is>
          <t>Stefan Wagner</t>
        </is>
      </c>
      <c r="C8" s="3" t="inlineStr">
        <is>
          <t>Bahnhofsallee 21</t>
        </is>
      </c>
      <c r="D8" s="3" t="inlineStr">
        <is>
          <t>Frankfurt</t>
        </is>
      </c>
      <c r="E8" s="3" t="inlineStr">
        <is>
          <t>Frankfurt Wohnbau GmbH</t>
        </is>
      </c>
      <c r="F8" s="4" t="inlineStr">
        <is>
          <t>01.11.2019</t>
        </is>
      </c>
      <c r="G8" s="3" t="inlineStr">
        <is>
          <t>Lärmbelästigung</t>
        </is>
      </c>
      <c r="H8" s="3" t="inlineStr">
        <is>
          <t>Erheblicher Lärm durch defekten Aufzug</t>
        </is>
      </c>
      <c r="I8" s="4" t="inlineStr">
        <is>
          <t>10.02.2026</t>
        </is>
      </c>
      <c r="J8" s="4" t="inlineStr">
        <is>
          <t>24.02.2026</t>
        </is>
      </c>
      <c r="K8" s="3" t="inlineStr">
        <is>
          <t>Keine</t>
        </is>
      </c>
      <c r="L8" s="5" t="n">
        <v>1200</v>
      </c>
      <c r="M8" s="5" t="n">
        <v>340</v>
      </c>
      <c r="N8" s="6">
        <f>L8+M8</f>
        <v/>
      </c>
      <c r="O8" s="7" t="n">
        <v>0.1</v>
      </c>
      <c r="P8" s="6">
        <f>N8*O8</f>
        <v/>
      </c>
      <c r="Q8" s="6">
        <f>IF(T8="Zurückbehalten",MIN(N8-P8,N8*0.5),0)</f>
        <v/>
      </c>
      <c r="R8" s="5" t="n">
        <v>1540</v>
      </c>
      <c r="S8" s="6">
        <f>MAX(N8-P8-R8-Q8,0)</f>
        <v/>
      </c>
      <c r="T8" s="8" t="inlineStr">
        <is>
          <t>Erledigt</t>
        </is>
      </c>
      <c r="U8" s="3" t="inlineStr">
        <is>
          <t>Vollständig – Lärmbelästigung</t>
        </is>
      </c>
    </row>
    <row r="9">
      <c r="A9" s="9" t="inlineStr">
        <is>
          <t>V-2026-006</t>
        </is>
      </c>
      <c r="B9" s="9" t="inlineStr">
        <is>
          <t>Petra Becker</t>
        </is>
      </c>
      <c r="C9" s="9" t="inlineStr">
        <is>
          <t>Königstraße 55</t>
        </is>
      </c>
      <c r="D9" s="9" t="inlineStr">
        <is>
          <t>Stuttgart</t>
        </is>
      </c>
      <c r="E9" s="9" t="inlineStr">
        <is>
          <t>Schwabenwohnen eG</t>
        </is>
      </c>
      <c r="F9" s="10" t="inlineStr">
        <is>
          <t>01.02.2021</t>
        </is>
      </c>
      <c r="G9" s="9" t="inlineStr">
        <is>
          <t>Fenster undicht</t>
        </is>
      </c>
      <c r="H9" s="9" t="inlineStr">
        <is>
          <t>Fenstereinbruch, starker Kältezug im Winter</t>
        </is>
      </c>
      <c r="I9" s="10" t="inlineStr">
        <is>
          <t>18.01.2026</t>
        </is>
      </c>
      <c r="J9" s="10" t="inlineStr">
        <is>
          <t>01.02.2026</t>
        </is>
      </c>
      <c r="K9" s="9" t="inlineStr">
        <is>
          <t>Zusage</t>
        </is>
      </c>
      <c r="L9" s="5" t="n">
        <v>890</v>
      </c>
      <c r="M9" s="5" t="n">
        <v>210</v>
      </c>
      <c r="N9" s="11">
        <f>L9+M9</f>
        <v/>
      </c>
      <c r="O9" s="7" t="n">
        <v>0.1</v>
      </c>
      <c r="P9" s="11">
        <f>N9*O9</f>
        <v/>
      </c>
      <c r="Q9" s="11">
        <f>IF(T9="Zurückbehalten",MIN(N9-P9,N9*0.5),0)</f>
        <v/>
      </c>
      <c r="R9" s="5" t="n">
        <v>0</v>
      </c>
      <c r="S9" s="11">
        <f>MAX(N9-P9-R9-Q9,0)</f>
        <v/>
      </c>
      <c r="T9" s="8" t="inlineStr">
        <is>
          <t>Offen</t>
        </is>
      </c>
      <c r="U9" s="9" t="inlineStr">
        <is>
          <t>Ausstehend – Fenster undicht</t>
        </is>
      </c>
    </row>
    <row r="10">
      <c r="A10" s="3" t="inlineStr">
        <is>
          <t>V-2026-007</t>
        </is>
      </c>
      <c r="B10" s="3" t="inlineStr">
        <is>
          <t>Andreas Hoffmann</t>
        </is>
      </c>
      <c r="C10" s="3" t="inlineStr">
        <is>
          <t>Rheinallee 17</t>
        </is>
      </c>
      <c r="D10" s="3" t="inlineStr">
        <is>
          <t>Düsseldorf</t>
        </is>
      </c>
      <c r="E10" s="3" t="inlineStr">
        <is>
          <t>Düsseldorf Grundbesitz</t>
        </is>
      </c>
      <c r="F10" s="4" t="inlineStr">
        <is>
          <t>01.07.2022</t>
        </is>
      </c>
      <c r="G10" s="3" t="inlineStr">
        <is>
          <t>Rohrgeruch</t>
        </is>
      </c>
      <c r="H10" s="3" t="inlineStr">
        <is>
          <t>Anhaltender Rohrgeruch, Abflussproblem im Bad</t>
        </is>
      </c>
      <c r="I10" s="4" t="inlineStr">
        <is>
          <t>25.01.2026</t>
        </is>
      </c>
      <c r="J10" s="4" t="inlineStr">
        <is>
          <t>08.02.2026</t>
        </is>
      </c>
      <c r="K10" s="3" t="inlineStr">
        <is>
          <t>Keine</t>
        </is>
      </c>
      <c r="L10" s="5" t="n">
        <v>1050</v>
      </c>
      <c r="M10" s="5" t="n">
        <v>280</v>
      </c>
      <c r="N10" s="6">
        <f>L10+M10</f>
        <v/>
      </c>
      <c r="O10" s="7" t="n">
        <v>0.15</v>
      </c>
      <c r="P10" s="6">
        <f>N10*O10</f>
        <v/>
      </c>
      <c r="Q10" s="6">
        <f>IF(T10="Zurückbehalten",MIN(N10-P10,N10*0.5),0)</f>
        <v/>
      </c>
      <c r="R10" s="5" t="n">
        <v>0</v>
      </c>
      <c r="S10" s="6">
        <f>MAX(N10-P10-R10-Q10,0)</f>
        <v/>
      </c>
      <c r="T10" s="8" t="inlineStr">
        <is>
          <t>Eskaliert</t>
        </is>
      </c>
      <c r="U10" s="3" t="inlineStr">
        <is>
          <t>Ausstehend – Rohrgeruch</t>
        </is>
      </c>
    </row>
    <row r="11">
      <c r="A11" s="9" t="inlineStr">
        <is>
          <t>V-2026-008</t>
        </is>
      </c>
      <c r="B11" s="9" t="inlineStr">
        <is>
          <t>Claudia Schäfer</t>
        </is>
      </c>
      <c r="C11" s="9" t="inlineStr">
        <is>
          <t>Karl-Heine-Straße 9</t>
        </is>
      </c>
      <c r="D11" s="9" t="inlineStr">
        <is>
          <t>Leipzig</t>
        </is>
      </c>
      <c r="E11" s="9" t="inlineStr">
        <is>
          <t>Leipziger Wohnungsgesellschaft</t>
        </is>
      </c>
      <c r="F11" s="10" t="inlineStr">
        <is>
          <t>01.04.2020</t>
        </is>
      </c>
      <c r="G11" s="9" t="inlineStr">
        <is>
          <t>Balkontür undicht</t>
        </is>
      </c>
      <c r="H11" s="9" t="inlineStr">
        <is>
          <t>Undichte Balkontür, Nässe dringt ein</t>
        </is>
      </c>
      <c r="I11" s="10" t="inlineStr">
        <is>
          <t>02.02.2026</t>
        </is>
      </c>
      <c r="J11" s="10" t="inlineStr">
        <is>
          <t>16.02.2026</t>
        </is>
      </c>
      <c r="K11" s="9" t="inlineStr">
        <is>
          <t>Erledigt</t>
        </is>
      </c>
      <c r="L11" s="5" t="n">
        <v>680</v>
      </c>
      <c r="M11" s="5" t="n">
        <v>185</v>
      </c>
      <c r="N11" s="11">
        <f>L11+M11</f>
        <v/>
      </c>
      <c r="O11" s="7" t="n">
        <v>0.05</v>
      </c>
      <c r="P11" s="11">
        <f>N11*O11</f>
        <v/>
      </c>
      <c r="Q11" s="11">
        <f>IF(T11="Zurückbehalten",MIN(N11-P11,N11*0.5),0)</f>
        <v/>
      </c>
      <c r="R11" s="5" t="n">
        <v>692</v>
      </c>
      <c r="S11" s="11">
        <f>MAX(N11-P11-R11-Q11,0)</f>
        <v/>
      </c>
      <c r="T11" s="8" t="inlineStr">
        <is>
          <t>Erledigt</t>
        </is>
      </c>
      <c r="U11" s="9" t="inlineStr">
        <is>
          <t>Vollständig – Balkontür undicht</t>
        </is>
      </c>
    </row>
    <row r="12">
      <c r="A12" s="3" t="inlineStr">
        <is>
          <t>V-2026-009</t>
        </is>
      </c>
      <c r="B12" s="3" t="inlineStr">
        <is>
          <t>Markus Bauer</t>
        </is>
      </c>
      <c r="C12" s="3" t="inlineStr">
        <is>
          <t>Bergstraße 30</t>
        </is>
      </c>
      <c r="D12" s="3" t="inlineStr">
        <is>
          <t>Dresden</t>
        </is>
      </c>
      <c r="E12" s="3" t="inlineStr">
        <is>
          <t>Elbtal Immobilien GmbH</t>
        </is>
      </c>
      <c r="F12" s="4" t="inlineStr">
        <is>
          <t>01.08.2021</t>
        </is>
      </c>
      <c r="G12" s="3" t="inlineStr">
        <is>
          <t>Warmwasserausfall</t>
        </is>
      </c>
      <c r="H12" s="3" t="inlineStr">
        <is>
          <t>Kompletter Ausfall der Warmwasserversorgung</t>
        </is>
      </c>
      <c r="I12" s="4" t="inlineStr">
        <is>
          <t>08.02.2026</t>
        </is>
      </c>
      <c r="J12" s="4" t="inlineStr">
        <is>
          <t>22.02.2026</t>
        </is>
      </c>
      <c r="K12" s="3" t="inlineStr">
        <is>
          <t>Keine</t>
        </is>
      </c>
      <c r="L12" s="5" t="n">
        <v>760</v>
      </c>
      <c r="M12" s="5" t="n">
        <v>195</v>
      </c>
      <c r="N12" s="6">
        <f>L12+M12</f>
        <v/>
      </c>
      <c r="O12" s="7" t="n">
        <v>0.4</v>
      </c>
      <c r="P12" s="6">
        <f>N12*O12</f>
        <v/>
      </c>
      <c r="Q12" s="6">
        <f>IF(T12="Zurückbehalten",MIN(N12-P12,N12*0.5),0)</f>
        <v/>
      </c>
      <c r="R12" s="5" t="n">
        <v>0</v>
      </c>
      <c r="S12" s="6">
        <f>MAX(N12-P12-R12-Q12,0)</f>
        <v/>
      </c>
      <c r="T12" s="8" t="inlineStr">
        <is>
          <t>Offen</t>
        </is>
      </c>
      <c r="U12" s="3" t="inlineStr">
        <is>
          <t>Ausstehend – Warmwasserausfall</t>
        </is>
      </c>
    </row>
    <row r="13"/>
    <row r="14">
      <c r="K14" s="12" t="inlineStr">
        <is>
          <t>Summen:</t>
        </is>
      </c>
      <c r="L14" s="13">
        <f>SUM(L4:L12)</f>
        <v/>
      </c>
      <c r="M14" s="13">
        <f>SUM(M4:M12)</f>
        <v/>
      </c>
      <c r="N14" s="13">
        <f>SUM(N4:N12)</f>
        <v/>
      </c>
      <c r="P14" s="13">
        <f>SUM(P4:P12)</f>
        <v/>
      </c>
      <c r="Q14" s="13">
        <f>SUM(Q4:Q12)</f>
        <v/>
      </c>
      <c r="R14" s="13">
        <f>SUM(R4:R12)</f>
        <v/>
      </c>
      <c r="S14" s="13">
        <f>SUM(S4:S12)</f>
        <v/>
      </c>
    </row>
  </sheetData>
  <mergeCells count="1">
    <mergeCell ref="A1:U1"/>
  </mergeCells>
  <conditionalFormatting sqref="S4:S12">
    <cfRule type="cellIs" priority="1" operator="greaterThan" dxfId="0">
      <formula>0</formula>
    </cfRule>
    <cfRule type="cellIs" priority="2" operator="equal" dxfId="1">
      <formula>0</formula>
    </cfRule>
  </conditionalFormatting>
  <conditionalFormatting sqref="J4:J12">
    <cfRule type="expression" priority="3" dxfId="2" stopIfTrue="1">
      <formula>AND(J4&lt;TODAY(),T4&lt;&gt;"Erledigt")</formula>
    </cfRule>
  </conditionalFormatting>
  <conditionalFormatting sqref="T4:T12">
    <cfRule type="expression" priority="4" dxfId="0">
      <formula>T4="Eskaliert"</formula>
    </cfRule>
    <cfRule type="expression" priority="5" dxfId="1">
      <formula>T4="Erledigt"</formula>
    </cfRule>
  </conditionalFormatting>
  <dataValidations count="2">
    <dataValidation sqref="T4:T12" showErrorMessage="1" showInputMessage="1" allowBlank="1" type="list">
      <formula1>"Offen,Zurückbehalten,Eskaliert,Erledigt"</formula1>
    </dataValidation>
    <dataValidation sqref="K4:K12" showErrorMessage="1" showInputMessage="1" allowBlank="1" type="list">
      <formula1>"Keine,Zusage,Teilweise erledigt,Erledigt"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6" customWidth="1" min="1" max="1"/>
    <col width="22" customWidth="1" min="2" max="2"/>
    <col width="20" customWidth="1" min="3" max="3"/>
    <col width="18" customWidth="1" min="4" max="4"/>
    <col width="22" customWidth="1" min="5" max="5"/>
    <col width="26" customWidth="1" min="6" max="6"/>
    <col width="36" customWidth="1" min="7" max="7"/>
    <col width="16" customWidth="1" min="8" max="8"/>
    <col width="18" customWidth="1" min="9" max="9"/>
    <col width="20" customWidth="1" min="10" max="10"/>
  </cols>
  <sheetData>
    <row r="1" ht="26" customHeight="1">
      <c r="A1" s="14" t="inlineStr">
        <is>
          <t>Rechtsgrundlagen &amp; Bewertung je Vorgang</t>
        </is>
      </c>
    </row>
    <row r="2"/>
    <row r="3">
      <c r="A3" s="2" t="inlineStr">
        <is>
          <t>Vorgangsnummer</t>
        </is>
      </c>
      <c r="B3" s="2" t="inlineStr">
        <is>
          <t>Mangel rechtlich relevant?</t>
        </is>
      </c>
      <c r="C3" s="2" t="inlineStr">
        <is>
          <t>Anzeige rechtzeitig?</t>
        </is>
      </c>
      <c r="D3" s="2" t="inlineStr">
        <is>
          <t>Frist angemessen?</t>
        </is>
      </c>
      <c r="E3" s="2" t="inlineStr">
        <is>
          <t>Minderungsquote empfohlen</t>
        </is>
      </c>
      <c r="F3" s="2" t="inlineStr">
        <is>
          <t>Zurückbehaltungsrecht plausibel?</t>
        </is>
      </c>
      <c r="G3" s="2" t="inlineStr">
        <is>
          <t>Begründung kurz</t>
        </is>
      </c>
      <c r="H3" s="2" t="inlineStr">
        <is>
          <t>Risiko-Hinweis</t>
        </is>
      </c>
      <c r="I3" s="2" t="inlineStr">
        <is>
          <t>Bearbeiter/in</t>
        </is>
      </c>
      <c r="J3" s="2" t="inlineStr">
        <is>
          <t>Status (Hauptblatt)</t>
        </is>
      </c>
    </row>
    <row r="4">
      <c r="A4" s="3" t="inlineStr">
        <is>
          <t>V-2026-001</t>
        </is>
      </c>
      <c r="B4" s="8" t="inlineStr">
        <is>
          <t>Ja</t>
        </is>
      </c>
      <c r="C4" s="8" t="inlineStr">
        <is>
          <t>Ja</t>
        </is>
      </c>
      <c r="D4" s="8" t="inlineStr">
        <is>
          <t>Ja</t>
        </is>
      </c>
      <c r="E4" s="7" t="n">
        <v>0.2</v>
      </c>
      <c r="F4" s="3">
        <f>IF(AND(B4="Ja",C4="Ja"),"Ja","Prüfen")</f>
        <v/>
      </c>
      <c r="G4" s="3" t="inlineStr">
        <is>
          <t>Begründete Minderung, keine Reaktion Vermieter</t>
        </is>
      </c>
      <c r="H4" s="3" t="inlineStr">
        <is>
          <t>Mittel</t>
        </is>
      </c>
      <c r="I4" s="3" t="inlineStr">
        <is>
          <t>Anna Krüger</t>
        </is>
      </c>
      <c r="J4" s="3">
        <f>IFERROR(VLOOKUP(A4,'Mängel- und Zahlungsübersicht'!$A$4:$T$12,20,FALSE),"n.v.")</f>
        <v/>
      </c>
    </row>
    <row r="5">
      <c r="A5" s="9" t="inlineStr">
        <is>
          <t>V-2026-002</t>
        </is>
      </c>
      <c r="B5" s="8" t="inlineStr">
        <is>
          <t>Ja</t>
        </is>
      </c>
      <c r="C5" s="8" t="inlineStr">
        <is>
          <t>Ja</t>
        </is>
      </c>
      <c r="D5" s="8" t="inlineStr">
        <is>
          <t>Ja</t>
        </is>
      </c>
      <c r="E5" s="7" t="n">
        <v>0.3</v>
      </c>
      <c r="F5" s="9">
        <f>IF(AND(B5="Ja",C5="Ja"),"Ja","Prüfen")</f>
        <v/>
      </c>
      <c r="G5" s="9" t="inlineStr">
        <is>
          <t>Heizungsausfall im Winter, erhebliche Beeinträchtigung</t>
        </is>
      </c>
      <c r="H5" s="9" t="inlineStr">
        <is>
          <t>Hoch</t>
        </is>
      </c>
      <c r="I5" s="9" t="inlineStr">
        <is>
          <t>Anna Krüger</t>
        </is>
      </c>
      <c r="J5" s="9">
        <f>IFERROR(VLOOKUP(A5,'Mängel- und Zahlungsübersicht'!$A$4:$T$12,20,FALSE),"n.v.")</f>
        <v/>
      </c>
    </row>
    <row r="6">
      <c r="A6" s="3" t="inlineStr">
        <is>
          <t>V-2026-003</t>
        </is>
      </c>
      <c r="B6" s="8" t="inlineStr">
        <is>
          <t>Ja</t>
        </is>
      </c>
      <c r="C6" s="8" t="inlineStr">
        <is>
          <t>Ja</t>
        </is>
      </c>
      <c r="D6" s="8" t="inlineStr">
        <is>
          <t>Ja</t>
        </is>
      </c>
      <c r="E6" s="7" t="n">
        <v>0.25</v>
      </c>
      <c r="F6" s="3">
        <f>IF(AND(B6="Ja",C6="Ja"),"Ja","Prüfen")</f>
        <v/>
      </c>
      <c r="G6" s="3" t="inlineStr">
        <is>
          <t>Gesundheitsgefahr durch Schimmel, gutachterlich zu prüfen</t>
        </is>
      </c>
      <c r="H6" s="3" t="inlineStr">
        <is>
          <t>Hoch</t>
        </is>
      </c>
      <c r="I6" s="3" t="inlineStr">
        <is>
          <t>Jan Petersen</t>
        </is>
      </c>
      <c r="J6" s="3">
        <f>IFERROR(VLOOKUP(A6,'Mängel- und Zahlungsübersicht'!$A$4:$T$12,20,FALSE),"n.v.")</f>
        <v/>
      </c>
    </row>
    <row r="7">
      <c r="A7" s="9" t="inlineStr">
        <is>
          <t>V-2026-004</t>
        </is>
      </c>
      <c r="B7" s="8" t="inlineStr">
        <is>
          <t>Ja</t>
        </is>
      </c>
      <c r="C7" s="8" t="inlineStr">
        <is>
          <t>Ja</t>
        </is>
      </c>
      <c r="D7" s="8" t="inlineStr">
        <is>
          <t>Nein</t>
        </is>
      </c>
      <c r="E7" s="7" t="n">
        <v>0.15</v>
      </c>
      <c r="F7" s="9">
        <f>IF(AND(B7="Ja",C7="Ja"),"Ja","Prüfen")</f>
        <v/>
      </c>
      <c r="G7" s="9" t="inlineStr">
        <is>
          <t>Frist war zu kurz bemessen, Nachbesserung teilweise erfolgt</t>
        </is>
      </c>
      <c r="H7" s="9" t="inlineStr">
        <is>
          <t>Niedrig</t>
        </is>
      </c>
      <c r="I7" s="9" t="inlineStr">
        <is>
          <t>Jan Petersen</t>
        </is>
      </c>
      <c r="J7" s="9">
        <f>IFERROR(VLOOKUP(A7,'Mängel- und Zahlungsübersicht'!$A$4:$T$12,20,FALSE),"n.v.")</f>
        <v/>
      </c>
    </row>
    <row r="8">
      <c r="A8" s="3" t="inlineStr">
        <is>
          <t>V-2026-005</t>
        </is>
      </c>
      <c r="B8" s="8" t="inlineStr">
        <is>
          <t>Nein</t>
        </is>
      </c>
      <c r="C8" s="8" t="inlineStr">
        <is>
          <t>Ja</t>
        </is>
      </c>
      <c r="D8" s="8" t="inlineStr">
        <is>
          <t>Ja</t>
        </is>
      </c>
      <c r="E8" s="7" t="n">
        <v>0.1</v>
      </c>
      <c r="F8" s="3">
        <f>IF(AND(B8="Ja",C8="Ja"),"Ja","Prüfen")</f>
        <v/>
      </c>
      <c r="G8" s="3" t="inlineStr">
        <is>
          <t>Lärmbelästigung gering, Reparatur bereits erfolgt</t>
        </is>
      </c>
      <c r="H8" s="3" t="inlineStr">
        <is>
          <t>Niedrig</t>
        </is>
      </c>
      <c r="I8" s="3" t="inlineStr">
        <is>
          <t>Anna Krüger</t>
        </is>
      </c>
      <c r="J8" s="3">
        <f>IFERROR(VLOOKUP(A8,'Mängel- und Zahlungsübersicht'!$A$4:$T$12,20,FALSE),"n.v.")</f>
        <v/>
      </c>
    </row>
    <row r="9">
      <c r="A9" s="9" t="inlineStr">
        <is>
          <t>V-2026-006</t>
        </is>
      </c>
      <c r="B9" s="8" t="inlineStr">
        <is>
          <t>Ja</t>
        </is>
      </c>
      <c r="C9" s="8" t="inlineStr">
        <is>
          <t>Ja</t>
        </is>
      </c>
      <c r="D9" s="8" t="inlineStr">
        <is>
          <t>Ja</t>
        </is>
      </c>
      <c r="E9" s="7" t="n">
        <v>0.1</v>
      </c>
      <c r="F9" s="9">
        <f>IF(AND(B9="Ja",C9="Ja"),"Ja","Prüfen")</f>
        <v/>
      </c>
      <c r="G9" s="9" t="inlineStr">
        <is>
          <t>Kältezug dokumentiert, Vermieter hat zugesagt</t>
        </is>
      </c>
      <c r="H9" s="9" t="inlineStr">
        <is>
          <t>Mittel</t>
        </is>
      </c>
      <c r="I9" s="9" t="inlineStr">
        <is>
          <t>Jan Petersen</t>
        </is>
      </c>
      <c r="J9" s="9">
        <f>IFERROR(VLOOKUP(A9,'Mängel- und Zahlungsübersicht'!$A$4:$T$12,20,FALSE),"n.v.")</f>
        <v/>
      </c>
    </row>
    <row r="10">
      <c r="A10" s="3" t="inlineStr">
        <is>
          <t>V-2026-007</t>
        </is>
      </c>
      <c r="B10" s="8" t="inlineStr">
        <is>
          <t>Ja</t>
        </is>
      </c>
      <c r="C10" s="8" t="inlineStr">
        <is>
          <t>Nein</t>
        </is>
      </c>
      <c r="D10" s="8" t="inlineStr">
        <is>
          <t>Ja</t>
        </is>
      </c>
      <c r="E10" s="7" t="n">
        <v>0.15</v>
      </c>
      <c r="F10" s="3">
        <f>IF(AND(B10="Ja",C10="Ja"),"Ja","Prüfen")</f>
        <v/>
      </c>
      <c r="G10" s="3" t="inlineStr">
        <is>
          <t>Meldung erst nach Verzögerung, Beweislage unklar</t>
        </is>
      </c>
      <c r="H10" s="3" t="inlineStr">
        <is>
          <t>Mittel</t>
        </is>
      </c>
      <c r="I10" s="3" t="inlineStr">
        <is>
          <t>Anna Krüger</t>
        </is>
      </c>
      <c r="J10" s="3">
        <f>IFERROR(VLOOKUP(A10,'Mängel- und Zahlungsübersicht'!$A$4:$T$12,20,FALSE),"n.v.")</f>
        <v/>
      </c>
    </row>
    <row r="11">
      <c r="A11" s="9" t="inlineStr">
        <is>
          <t>V-2026-008</t>
        </is>
      </c>
      <c r="B11" s="8" t="inlineStr">
        <is>
          <t>Ja</t>
        </is>
      </c>
      <c r="C11" s="8" t="inlineStr">
        <is>
          <t>Ja</t>
        </is>
      </c>
      <c r="D11" s="8" t="inlineStr">
        <is>
          <t>Ja</t>
        </is>
      </c>
      <c r="E11" s="7" t="n">
        <v>0.05</v>
      </c>
      <c r="F11" s="9">
        <f>IF(AND(B11="Ja",C11="Ja"),"Ja","Prüfen")</f>
        <v/>
      </c>
      <c r="G11" s="9" t="inlineStr">
        <is>
          <t>Mangel behoben, Fall abgeschlossen</t>
        </is>
      </c>
      <c r="H11" s="9" t="inlineStr">
        <is>
          <t>Niedrig</t>
        </is>
      </c>
      <c r="I11" s="9" t="inlineStr">
        <is>
          <t>Jan Petersen</t>
        </is>
      </c>
      <c r="J11" s="9">
        <f>IFERROR(VLOOKUP(A11,'Mängel- und Zahlungsübersicht'!$A$4:$T$12,20,FALSE),"n.v.")</f>
        <v/>
      </c>
    </row>
    <row r="12">
      <c r="A12" s="3" t="inlineStr">
        <is>
          <t>V-2026-009</t>
        </is>
      </c>
      <c r="B12" s="8" t="inlineStr">
        <is>
          <t>Ja</t>
        </is>
      </c>
      <c r="C12" s="8" t="inlineStr">
        <is>
          <t>Ja</t>
        </is>
      </c>
      <c r="D12" s="8" t="inlineStr">
        <is>
          <t>Ja</t>
        </is>
      </c>
      <c r="E12" s="7" t="n">
        <v>0.4</v>
      </c>
      <c r="F12" s="3">
        <f>IF(AND(B12="Ja",C12="Ja"),"Ja","Prüfen")</f>
        <v/>
      </c>
      <c r="G12" s="3" t="inlineStr">
        <is>
          <t>Kompletter Warmwasserausfall, hohe Minderungsquote gerechtfertigt</t>
        </is>
      </c>
      <c r="H12" s="3" t="inlineStr">
        <is>
          <t>Hoch</t>
        </is>
      </c>
      <c r="I12" s="3" t="inlineStr">
        <is>
          <t>Anna Krüger</t>
        </is>
      </c>
      <c r="J12" s="3">
        <f>IFERROR(VLOOKUP(A12,'Mängel- und Zahlungsübersicht'!$A$4:$T$12,20,FALSE),"n.v.")</f>
        <v/>
      </c>
    </row>
    <row r="13"/>
    <row r="14">
      <c r="A14" s="12" t="inlineStr">
        <is>
          <t>Anzahl rechtlich relevant:</t>
        </is>
      </c>
      <c r="B14" s="12">
        <f>COUNTIF(B4:B12,"Ja")</f>
        <v/>
      </c>
    </row>
    <row r="15">
      <c r="A15" s="12" t="inlineStr">
        <is>
          <t>Ø Minderungsquote empfohlen:</t>
        </is>
      </c>
      <c r="B15" s="15">
        <f>AVERAGE(E4:E12)</f>
        <v/>
      </c>
    </row>
    <row r="16">
      <c r="A16" s="12" t="inlineStr">
        <is>
          <t>Anzahl Zurückbehaltungsrecht plausibel:</t>
        </is>
      </c>
      <c r="B16" s="12">
        <f>COUNTIF(F4:F12,"Ja")</f>
        <v/>
      </c>
    </row>
  </sheetData>
  <mergeCells count="1">
    <mergeCell ref="A1:J1"/>
  </mergeCells>
  <dataValidations count="1">
    <dataValidation sqref="B4:D12" showErrorMessage="1" showInputMessage="1" allowBlank="1" type="list">
      <formula1>"Ja,Nein"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42"/>
  <sheetViews>
    <sheetView workbookViewId="0">
      <selection activeCell="A1" sqref="A1"/>
    </sheetView>
  </sheetViews>
  <sheetFormatPr baseColWidth="8" defaultRowHeight="15"/>
  <cols>
    <col width="26" customWidth="1" min="1" max="1"/>
    <col width="20" customWidth="1" min="2" max="2"/>
    <col width="16" customWidth="1" min="3" max="3"/>
  </cols>
  <sheetData>
    <row r="1" ht="26" customHeight="1">
      <c r="A1" s="14" t="inlineStr">
        <is>
          <t>Dashboard – Zurückbehaltungsrecht Miete 2026</t>
        </is>
      </c>
    </row>
    <row r="2"/>
    <row r="3">
      <c r="A3" s="2" t="inlineStr">
        <is>
          <t>Kennzahl</t>
        </is>
      </c>
      <c r="B3" s="2" t="inlineStr">
        <is>
          <t>Wert</t>
        </is>
      </c>
    </row>
    <row r="4">
      <c r="A4" s="3" t="inlineStr">
        <is>
          <t>Anzahl Vorgänge</t>
        </is>
      </c>
      <c r="B4" s="3">
        <f>COUNTA('Mängel- und Zahlungsübersicht'!A4:A12)</f>
        <v/>
      </c>
    </row>
    <row r="5">
      <c r="A5" s="9" t="inlineStr">
        <is>
          <t>Anzahl mit Mangel anerkannt</t>
        </is>
      </c>
      <c r="B5" s="9">
        <f>COUNTIF('Rechtsgrundlagen &amp; Bewertung'!B4:B12,"Ja")</f>
        <v/>
      </c>
    </row>
    <row r="6">
      <c r="A6" s="3" t="inlineStr">
        <is>
          <t>Summe Minderung (€)</t>
        </is>
      </c>
      <c r="B6" s="6">
        <f>SUM('Mängel- und Zahlungsübersicht'!P4:P12)</f>
        <v/>
      </c>
    </row>
    <row r="7">
      <c r="A7" s="9" t="inlineStr">
        <is>
          <t>Summe zurückbehalten (€)</t>
        </is>
      </c>
      <c r="B7" s="11">
        <f>SUM('Mängel- und Zahlungsübersicht'!Q4:Q12)</f>
        <v/>
      </c>
    </row>
    <row r="8">
      <c r="A8" s="3" t="inlineStr">
        <is>
          <t>Offene Beträge gesamt (€)</t>
        </is>
      </c>
      <c r="B8" s="6">
        <f>SUM('Mängel- und Zahlungsübersicht'!S4:S12)</f>
        <v/>
      </c>
    </row>
    <row r="9">
      <c r="A9" s="9" t="inlineStr">
        <is>
          <t>Ø Minderungsquote</t>
        </is>
      </c>
      <c r="B9" s="16">
        <f>AVERAGE('Mängel- und Zahlungsübersicht'!O4:O12)</f>
        <v/>
      </c>
    </row>
    <row r="10">
      <c r="A10" s="3" t="inlineStr">
        <is>
          <t>Fälle mit Fristüberschreitung</t>
        </is>
      </c>
      <c r="B10" s="3">
        <f>COUNTIF('Mängel- und Zahlungsübersicht'!T4:T12,"Eskaliert")</f>
        <v/>
      </c>
    </row>
    <row r="11">
      <c r="A11" s="9" t="inlineStr">
        <is>
          <t>Anteil eskalierte Fälle</t>
        </is>
      </c>
      <c r="B11" s="16">
        <f>IFERROR(COUNTIF('Mängel- und Zahlungsübersicht'!T4:T12,"Eskaliert")/COUNTA('Mängel- und Zahlungsübersicht'!A4:A12),0)</f>
        <v/>
      </c>
    </row>
    <row r="12"/>
    <row r="13"/>
    <row r="14">
      <c r="A14" s="17" t="inlineStr">
        <is>
          <t>Stadt</t>
        </is>
      </c>
      <c r="B14" s="17" t="inlineStr">
        <is>
          <t>Offener Betrag (€)</t>
        </is>
      </c>
    </row>
    <row r="15">
      <c r="A15" s="3" t="inlineStr">
        <is>
          <t>Berlin</t>
        </is>
      </c>
      <c r="B15" s="6">
        <f>SUMIF('Mängel- und Zahlungsübersicht'!D4:D12,A15,'Mängel- und Zahlungsübersicht'!S4:S12)</f>
        <v/>
      </c>
    </row>
    <row r="16">
      <c r="A16" s="9" t="inlineStr">
        <is>
          <t>Dresden</t>
        </is>
      </c>
      <c r="B16" s="11">
        <f>SUMIF('Mängel- und Zahlungsübersicht'!D4:D12,A16,'Mängel- und Zahlungsübersicht'!S4:S12)</f>
        <v/>
      </c>
    </row>
    <row r="17">
      <c r="A17" s="3" t="inlineStr">
        <is>
          <t>Düsseldorf</t>
        </is>
      </c>
      <c r="B17" s="6">
        <f>SUMIF('Mängel- und Zahlungsübersicht'!D4:D12,A17,'Mängel- und Zahlungsübersicht'!S4:S12)</f>
        <v/>
      </c>
    </row>
    <row r="18">
      <c r="A18" s="9" t="inlineStr">
        <is>
          <t>Frankfurt</t>
        </is>
      </c>
      <c r="B18" s="11">
        <f>SUMIF('Mängel- und Zahlungsübersicht'!D4:D12,A18,'Mängel- und Zahlungsübersicht'!S4:S12)</f>
        <v/>
      </c>
    </row>
    <row r="19">
      <c r="A19" s="3" t="inlineStr">
        <is>
          <t>Hamburg</t>
        </is>
      </c>
      <c r="B19" s="6">
        <f>SUMIF('Mängel- und Zahlungsübersicht'!D4:D12,A19,'Mängel- und Zahlungsübersicht'!S4:S12)</f>
        <v/>
      </c>
    </row>
    <row r="20">
      <c r="A20" s="9" t="inlineStr">
        <is>
          <t>Köln</t>
        </is>
      </c>
      <c r="B20" s="11">
        <f>SUMIF('Mängel- und Zahlungsübersicht'!D4:D12,A20,'Mängel- und Zahlungsübersicht'!S4:S12)</f>
        <v/>
      </c>
    </row>
    <row r="21">
      <c r="A21" s="3" t="inlineStr">
        <is>
          <t>Leipzig</t>
        </is>
      </c>
      <c r="B21" s="6">
        <f>SUMIF('Mängel- und Zahlungsübersicht'!D4:D12,A21,'Mängel- und Zahlungsübersicht'!S4:S12)</f>
        <v/>
      </c>
    </row>
    <row r="22">
      <c r="A22" s="9" t="inlineStr">
        <is>
          <t>München</t>
        </is>
      </c>
      <c r="B22" s="11">
        <f>SUMIF('Mängel- und Zahlungsübersicht'!D4:D12,A22,'Mängel- und Zahlungsübersicht'!S4:S12)</f>
        <v/>
      </c>
    </row>
    <row r="23">
      <c r="A23" s="3" t="inlineStr">
        <is>
          <t>Stuttgart</t>
        </is>
      </c>
      <c r="B23" s="6">
        <f>SUMIF('Mängel- und Zahlungsübersicht'!D4:D12,A23,'Mängel- und Zahlungsübersicht'!S4:S12)</f>
        <v/>
      </c>
    </row>
    <row r="24"/>
    <row r="25"/>
    <row r="26">
      <c r="A26" s="17" t="inlineStr">
        <is>
          <t>Status</t>
        </is>
      </c>
      <c r="B26" s="17" t="inlineStr">
        <is>
          <t>Anzahl</t>
        </is>
      </c>
    </row>
    <row r="27">
      <c r="A27" s="3" t="inlineStr">
        <is>
          <t>Offen</t>
        </is>
      </c>
      <c r="B27" s="3">
        <f>COUNTIF('Mängel- und Zahlungsübersicht'!T4:T12,A27)</f>
        <v/>
      </c>
    </row>
    <row r="28">
      <c r="A28" s="9" t="inlineStr">
        <is>
          <t>Zurückbehalten</t>
        </is>
      </c>
      <c r="B28" s="9">
        <f>COUNTIF('Mängel- und Zahlungsübersicht'!T4:T12,A28)</f>
        <v/>
      </c>
    </row>
    <row r="29">
      <c r="A29" s="3" t="inlineStr">
        <is>
          <t>Eskaliert</t>
        </is>
      </c>
      <c r="B29" s="3">
        <f>COUNTIF('Mängel- und Zahlungsübersicht'!T4:T12,A29)</f>
        <v/>
      </c>
    </row>
    <row r="30">
      <c r="A30" s="9" t="inlineStr">
        <is>
          <t>Erledigt</t>
        </is>
      </c>
      <c r="B30" s="9">
        <f>COUNTIF('Mängel- und Zahlungsübersicht'!T4:T12,A30)</f>
        <v/>
      </c>
    </row>
    <row r="31"/>
    <row r="32"/>
    <row r="33">
      <c r="A33" s="17" t="inlineStr">
        <is>
          <t>Vorgangsnummer</t>
        </is>
      </c>
      <c r="B33" s="17" t="inlineStr">
        <is>
          <t>Meldedatum</t>
        </is>
      </c>
      <c r="C33" s="17" t="inlineStr">
        <is>
          <t>Zahlungseingang (€)</t>
        </is>
      </c>
    </row>
    <row r="34">
      <c r="A34" s="3">
        <f>'Mängel- und Zahlungsübersicht'!A4</f>
        <v/>
      </c>
      <c r="B34" s="4">
        <f>'Mängel- und Zahlungsübersicht'!I4</f>
        <v/>
      </c>
      <c r="C34" s="6">
        <f>'Mängel- und Zahlungsübersicht'!R4</f>
        <v/>
      </c>
    </row>
    <row r="35">
      <c r="A35" s="9">
        <f>'Mängel- und Zahlungsübersicht'!A5</f>
        <v/>
      </c>
      <c r="B35" s="10">
        <f>'Mängel- und Zahlungsübersicht'!I5</f>
        <v/>
      </c>
      <c r="C35" s="11">
        <f>'Mängel- und Zahlungsübersicht'!R5</f>
        <v/>
      </c>
    </row>
    <row r="36">
      <c r="A36" s="3">
        <f>'Mängel- und Zahlungsübersicht'!A6</f>
        <v/>
      </c>
      <c r="B36" s="4">
        <f>'Mängel- und Zahlungsübersicht'!I6</f>
        <v/>
      </c>
      <c r="C36" s="6">
        <f>'Mängel- und Zahlungsübersicht'!R6</f>
        <v/>
      </c>
    </row>
    <row r="37">
      <c r="A37" s="9">
        <f>'Mängel- und Zahlungsübersicht'!A7</f>
        <v/>
      </c>
      <c r="B37" s="10">
        <f>'Mängel- und Zahlungsübersicht'!I7</f>
        <v/>
      </c>
      <c r="C37" s="11">
        <f>'Mängel- und Zahlungsübersicht'!R7</f>
        <v/>
      </c>
    </row>
    <row r="38">
      <c r="A38" s="3">
        <f>'Mängel- und Zahlungsübersicht'!A8</f>
        <v/>
      </c>
      <c r="B38" s="4">
        <f>'Mängel- und Zahlungsübersicht'!I8</f>
        <v/>
      </c>
      <c r="C38" s="6">
        <f>'Mängel- und Zahlungsübersicht'!R8</f>
        <v/>
      </c>
    </row>
    <row r="39">
      <c r="A39" s="9">
        <f>'Mängel- und Zahlungsübersicht'!A9</f>
        <v/>
      </c>
      <c r="B39" s="10">
        <f>'Mängel- und Zahlungsübersicht'!I9</f>
        <v/>
      </c>
      <c r="C39" s="11">
        <f>'Mängel- und Zahlungsübersicht'!R9</f>
        <v/>
      </c>
    </row>
    <row r="40">
      <c r="A40" s="3">
        <f>'Mängel- und Zahlungsübersicht'!A10</f>
        <v/>
      </c>
      <c r="B40" s="4">
        <f>'Mängel- und Zahlungsübersicht'!I10</f>
        <v/>
      </c>
      <c r="C40" s="6">
        <f>'Mängel- und Zahlungsübersicht'!R10</f>
        <v/>
      </c>
    </row>
    <row r="41">
      <c r="A41" s="9">
        <f>'Mängel- und Zahlungsübersicht'!A11</f>
        <v/>
      </c>
      <c r="B41" s="10">
        <f>'Mängel- und Zahlungsübersicht'!I11</f>
        <v/>
      </c>
      <c r="C41" s="11">
        <f>'Mängel- und Zahlungsübersicht'!R11</f>
        <v/>
      </c>
    </row>
    <row r="42">
      <c r="A42" s="3">
        <f>'Mängel- und Zahlungsübersicht'!A12</f>
        <v/>
      </c>
      <c r="B42" s="4">
        <f>'Mängel- und Zahlungsübersicht'!I12</f>
        <v/>
      </c>
      <c r="C42" s="6">
        <f>'Mängel- und Zahlungsübersicht'!R12</f>
        <v/>
      </c>
    </row>
  </sheetData>
  <mergeCells count="1">
    <mergeCell ref="A1:F1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cols>
    <col width="30" customWidth="1" min="1" max="1"/>
    <col width="95" customWidth="1" min="2" max="2"/>
  </cols>
  <sheetData>
    <row r="1" ht="26" customHeight="1">
      <c r="A1" s="14" t="inlineStr">
        <is>
          <t>Hinweise &amp; Anleitung</t>
        </is>
      </c>
    </row>
    <row r="2"/>
    <row r="3">
      <c r="A3" s="2" t="inlineStr">
        <is>
          <t>Thema</t>
        </is>
      </c>
      <c r="B3" s="2" t="inlineStr">
        <is>
          <t>Erläuterung</t>
        </is>
      </c>
    </row>
    <row r="4" ht="48" customHeight="1">
      <c r="A4" s="3" t="inlineStr">
        <is>
          <t>Zweck der Arbeitsmappe</t>
        </is>
      </c>
      <c r="B4" s="3" t="inlineStr">
        <is>
          <t>Diese Arbeitsmappe dient der strukturierten Dokumentation von Mietmängeln, Fristen, Zahlungen, Mietminderung und einem möglichen Zurückbehaltungsrecht gemäß §§ 535, 536, 536b BGB. Sie unterstützt Mieter/innen, Verwaltungen und Berater/innen bei der Übersicht und Nachverfolgung einzelner Vorgänge.</t>
        </is>
      </c>
    </row>
    <row r="5" ht="48" customHeight="1">
      <c r="A5" s="9" t="inlineStr">
        <is>
          <t>Blatt 'Mängel- und Zahlungsübersicht'</t>
        </is>
      </c>
      <c r="B5" s="9" t="inlineStr">
        <is>
          <t>Zentrale Datentabelle mit allen Vorgängen. Miete kalt, Nebenkosten, Minderungsquote und Zahlungseingang sind gelb hinterlegte Eingabefelder. Gesamtmiete, Minderungsbetrag, zurückbehaltener Betrag und offener Betrag werden automatisch berechnet.</t>
        </is>
      </c>
    </row>
    <row r="6" ht="48" customHeight="1">
      <c r="A6" s="3" t="inlineStr">
        <is>
          <t>Was ist ein Mangel?</t>
        </is>
      </c>
      <c r="B6" s="3" t="inlineStr">
        <is>
          <t>Ein Mangel liegt vor, wenn die tatsächliche Beschaffenheit der Wohnung von der vertraglich vereinbarten Beschaffenheit negativ abweicht (z. B. Schimmel, Heizungsausfall, Wasserschaden).</t>
        </is>
      </c>
    </row>
    <row r="7" ht="48" customHeight="1">
      <c r="A7" s="9" t="inlineStr">
        <is>
          <t>Was ist die Frist?</t>
        </is>
      </c>
      <c r="B7" s="9" t="inlineStr">
        <is>
          <t>Die Frist gesetzt bis ist der Zeitpunkt, bis zu dem der/die Vermieter/in den Mangel beseitigen soll. Wird die Frist ohne angemessene Reaktion überschritten, kann dies rechtliche Schritte des Mieters begründen.</t>
        </is>
      </c>
    </row>
    <row r="8" ht="48" customHeight="1">
      <c r="A8" s="3" t="inlineStr">
        <is>
          <t>Was ist die Mietminderung?</t>
        </is>
      </c>
      <c r="B8" s="3" t="inlineStr">
        <is>
          <t>Bei einem erheblichen Mangel kann die Miete gemäß § 536 BGB angemessen gemindert werden. Die Minderungsquote richtet sich nach Art und Schwere des Mangels und wird auf die Gesamtmiete angewendet.</t>
        </is>
      </c>
    </row>
    <row r="9" ht="48" customHeight="1">
      <c r="A9" s="9" t="inlineStr">
        <is>
          <t>Was ist das Zurückbehaltungsrecht?</t>
        </is>
      </c>
      <c r="B9" s="9" t="inlineStr">
        <is>
          <t>Nach § 320 BGB kann der/die Mieter/in bei unterlassener Mängelbeseitigung einen Teil der Miete zurückbehalten, um Druck auf die Mängelbeseitigung auszuüben. Der zurückbehaltene Betrag ist in der Regel auf einen angemessenen Teil (z. B. bis 50 % der Miete) begrenzt und muss bei Beseitigung des Mangels nachgezahlt werden.</t>
        </is>
      </c>
    </row>
    <row r="10" ht="48" customHeight="1">
      <c r="A10" s="3" t="inlineStr">
        <is>
          <t>Dokumentation ist entscheidend</t>
        </is>
      </c>
      <c r="B10" s="3" t="inlineStr">
        <is>
          <t>Für alle Fälle sollten Fotos, Zeugenaussagen, Schriftverkehr mit dem/der Vermieter/in und Zahlungsnachweise sorgfältig aufbewahrt werden. Diese Nachweise sind im Streitfall unerlässlich.</t>
        </is>
      </c>
    </row>
    <row r="11" ht="48" customHeight="1">
      <c r="A11" s="9" t="inlineStr">
        <is>
          <t>Blatt 'Rechtsgrundlagen &amp; Bewertung'</t>
        </is>
      </c>
      <c r="B11" s="9" t="inlineStr">
        <is>
          <t>Hier wird jeder Vorgang rechtlich eingeordnet: Ist der Mangel relevant, wurde er rechtzeitig angezeigt, ist die Frist angemessen? Die Spalte 'Zurückbehaltungsrecht plausibel?' wird automatisch aus den Ja/Nein-Angaben berechnet.</t>
        </is>
      </c>
    </row>
    <row r="12" ht="48" customHeight="1">
      <c r="A12" s="3" t="inlineStr">
        <is>
          <t>Blatt 'Dashboard - Auswertung'</t>
        </is>
      </c>
      <c r="B12" s="3" t="inlineStr">
        <is>
          <t>Zeigt zusammengefasste Kennzahlen sowie Diagramme zu offenen Beträgen je Stadt, Statusverteilung und Zahlungseingängen im Zeitverlauf.</t>
        </is>
      </c>
    </row>
    <row r="13" ht="48" customHeight="1">
      <c r="A13" s="9" t="inlineStr">
        <is>
          <t>Wichtiger Hinweis</t>
        </is>
      </c>
      <c r="B13" s="9" t="inlineStr">
        <is>
          <t>Diese Arbeitsmappe ersetzt KEINE Rechtsberatung. Bei Unsicherheiten zum Zurückbehaltungsrecht oder zur Höhe der Mietminderung sollte fachkundiger Rat (Mieterverein, Rechtsanwalt/-anwältin) eingeholt werden.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2026-07-14T01:22:50Z</dcterms:created>
  <dcterms:modified xmlns:dcterms="http://purl.org/dc/terms/" xmlns:xsi="http://www.w3.org/2001/XMLSchema-instance" xsi:type="dcterms:W3CDTF">2026-07-14T01:22:50Z</dcterms:modified>
</cp:coreProperties>
</file>