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ieterhöhungen" sheetId="1" state="visible" r:id="rId1"/>
    <sheet xmlns:r="http://schemas.openxmlformats.org/officeDocument/2006/relationships" name="Widerspruchsschreiben" sheetId="2" state="visible" r:id="rId2"/>
    <sheet xmlns:r="http://schemas.openxmlformats.org/officeDocument/2006/relationships" name="Auswertung" sheetId="3" state="visible" r:id="rId3"/>
    <sheet xmlns:r="http://schemas.openxmlformats.org/officeDocument/2006/relationships" name="Hinweise" sheetId="4" state="visible" r:id="rId4"/>
  </sheets>
  <definedNames/>
  <calcPr calcId="124519" fullCalcOnLoad="1"/>
</workbook>
</file>

<file path=xl/styles.xml><?xml version="1.0" encoding="utf-8"?>
<styleSheet xmlns="http://schemas.openxmlformats.org/spreadsheetml/2006/main">
  <numFmts count="4">
    <numFmt numFmtId="164" formatCode="yyyy-mm-dd"/>
    <numFmt numFmtId="165" formatCode="#.##0,00 &quot;€&quot;"/>
    <numFmt numFmtId="166" formatCode="0.0%"/>
    <numFmt numFmtId="167" formatCode="DD.MM.YYYY"/>
  </numFmts>
  <fonts count="5">
    <font>
      <name val="Calibri"/>
      <family val="2"/>
      <color theme="1"/>
      <sz val="11"/>
      <scheme val="minor"/>
    </font>
    <font>
      <b val="1"/>
      <color rgb="001E3A5F"/>
      <sz val="14"/>
    </font>
    <font>
      <b val="1"/>
      <color rgb="00FFFFFF"/>
      <sz val="11"/>
    </font>
    <font>
      <b val="1"/>
    </font>
    <font>
      <b val="1"/>
      <color rgb="001E3A5F"/>
    </font>
  </fonts>
  <fills count="6">
    <fill>
      <patternFill/>
    </fill>
    <fill>
      <patternFill patternType="gray125"/>
    </fill>
    <fill>
      <patternFill patternType="solid">
        <fgColor rgb="001E3A5F"/>
      </patternFill>
    </fill>
    <fill>
      <patternFill patternType="solid">
        <fgColor rgb="00FFFBEB"/>
      </patternFill>
    </fill>
    <fill>
      <patternFill patternType="solid">
        <fgColor rgb="00EEF2F7"/>
      </patternFill>
    </fill>
    <fill>
      <patternFill patternType="solid">
        <fgColor rgb="002C4C73"/>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1">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4" borderId="1" applyAlignment="1" pivotButton="0" quotePrefix="0" xfId="0">
      <alignment horizontal="left" vertical="center" wrapText="1"/>
    </xf>
    <xf numFmtId="1" fontId="0" fillId="4" borderId="1" applyAlignment="1" pivotButton="0" quotePrefix="0" xfId="0">
      <alignment horizontal="center" vertical="center" wrapText="1"/>
    </xf>
    <xf numFmtId="165" fontId="0" fillId="3" borderId="1" applyAlignment="1" pivotButton="0" quotePrefix="0" xfId="0">
      <alignment horizontal="center" vertical="center" wrapText="1"/>
    </xf>
    <xf numFmtId="165" fontId="0" fillId="4" borderId="1" applyAlignment="1" pivotButton="0" quotePrefix="0" xfId="0">
      <alignment horizontal="center" vertical="center" wrapText="1"/>
    </xf>
    <xf numFmtId="166" fontId="0" fillId="4" borderId="1" applyAlignment="1" pivotButton="0" quotePrefix="0" xfId="0">
      <alignment horizontal="center" vertical="center" wrapText="1"/>
    </xf>
    <xf numFmtId="167" fontId="0" fillId="4" borderId="1" applyAlignment="1" pivotButton="0" quotePrefix="0" xfId="0">
      <alignment horizontal="center" vertical="center" wrapText="1"/>
    </xf>
    <xf numFmtId="2"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0" fontId="0" fillId="0" borderId="1" applyAlignment="1" pivotButton="0" quotePrefix="0" xfId="0">
      <alignment horizontal="center" vertical="center" wrapText="1"/>
    </xf>
    <xf numFmtId="0" fontId="0" fillId="0" borderId="1" applyAlignment="1" pivotButton="0" quotePrefix="0" xfId="0">
      <alignment horizontal="left" vertical="center" wrapText="1"/>
    </xf>
    <xf numFmtId="1" fontId="0" fillId="0" borderId="1" applyAlignment="1" pivotButton="0" quotePrefix="0" xfId="0">
      <alignment horizontal="center" vertical="center" wrapText="1"/>
    </xf>
    <xf numFmtId="165" fontId="0" fillId="0" borderId="1" applyAlignment="1" pivotButton="0" quotePrefix="0" xfId="0">
      <alignment horizontal="center" vertical="center" wrapText="1"/>
    </xf>
    <xf numFmtId="166" fontId="0" fillId="0" borderId="1" applyAlignment="1" pivotButton="0" quotePrefix="0" xfId="0">
      <alignment horizontal="center" vertical="center" wrapText="1"/>
    </xf>
    <xf numFmtId="167" fontId="0" fillId="0" borderId="1" applyAlignment="1" pivotButton="0" quotePrefix="0" xfId="0">
      <alignment horizontal="center" vertical="center" wrapText="1"/>
    </xf>
    <xf numFmtId="0" fontId="1" fillId="0" borderId="0" pivotButton="0" quotePrefix="0" xfId="0"/>
    <xf numFmtId="0" fontId="2" fillId="5" borderId="1" applyAlignment="1" pivotButton="0" quotePrefix="0" xfId="0">
      <alignment horizontal="center" vertical="center" wrapText="1"/>
    </xf>
    <xf numFmtId="0" fontId="0" fillId="3" borderId="1" applyAlignment="1" pivotButton="0" quotePrefix="0" xfId="0">
      <alignment horizontal="center" vertical="center" wrapText="1"/>
    </xf>
    <xf numFmtId="167" fontId="0" fillId="3" borderId="1" applyAlignment="1" pivotButton="0" quotePrefix="0" xfId="0">
      <alignment horizontal="center" vertical="center" wrapText="1"/>
    </xf>
    <xf numFmtId="0" fontId="3" fillId="4" borderId="1" pivotButton="0" quotePrefix="0" xfId="0"/>
    <xf numFmtId="0" fontId="2" fillId="5" borderId="0" pivotButton="0" quotePrefix="0" xfId="0"/>
    <xf numFmtId="0" fontId="0" fillId="4" borderId="1" pivotButton="0" quotePrefix="0" xfId="0"/>
    <xf numFmtId="1" fontId="0" fillId="4" borderId="1" pivotButton="0" quotePrefix="0" xfId="0"/>
    <xf numFmtId="0" fontId="0" fillId="0" borderId="1" pivotButton="0" quotePrefix="0" xfId="0"/>
    <xf numFmtId="1" fontId="0" fillId="0" borderId="1" pivotButton="0" quotePrefix="0" xfId="0"/>
    <xf numFmtId="167" fontId="0" fillId="0" borderId="1" pivotButton="0" quotePrefix="0" xfId="0"/>
    <xf numFmtId="0" fontId="4" fillId="0" borderId="1" applyAlignment="1" pivotButton="0" quotePrefix="0" xfId="0">
      <alignment vertical="top" wrapText="1"/>
    </xf>
    <xf numFmtId="0" fontId="0" fillId="0" borderId="1" applyAlignment="1" pivotButton="0" quotePrefix="0" xfId="0">
      <alignment vertical="top" wrapText="1"/>
    </xf>
  </cellXfs>
  <cellStyles count="1">
    <cellStyle name="Normal" xfId="0" builtinId="0" hidden="0"/>
  </cellStyles>
  <dxfs count="3">
    <dxf>
      <fill>
        <patternFill patternType="solid">
          <fgColor rgb="00FBD5D5"/>
        </patternFill>
      </fill>
    </dxf>
    <dxf>
      <fill>
        <patternFill patternType="solid">
          <fgColor rgb="00C6EFCE"/>
        </patternFill>
      </fill>
    </dxf>
    <dxf>
      <fill>
        <patternFill patternType="solid">
          <fgColor rgb="00FDE9C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Anzahl Fälle je Stadt</a:t>
            </a:r>
          </a:p>
        </rich>
      </tx>
    </title>
    <plotArea>
      <barChart>
        <barDir val="col"/>
        <grouping val="clustered"/>
        <ser>
          <idx val="0"/>
          <order val="0"/>
          <tx>
            <strRef>
              <f>'Auswertung'!B10</f>
            </strRef>
          </tx>
          <spPr>
            <a:solidFill xmlns:a="http://schemas.openxmlformats.org/drawingml/2006/main">
              <a:srgbClr val="1E3A5F"/>
            </a:solidFill>
            <a:ln xmlns:a="http://schemas.openxmlformats.org/drawingml/2006/main">
              <a:prstDash val="solid"/>
            </a:ln>
          </spPr>
          <cat>
            <numRef>
              <f>'Auswertung'!$A$11:$A$20</f>
            </numRef>
          </cat>
          <val>
            <numRef>
              <f>'Auswertung'!$B$11:$B$20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Stadt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Anzahl</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Statusverteilung</a:t>
            </a:r>
          </a:p>
        </rich>
      </tx>
    </title>
    <plotArea>
      <pieChart>
        <varyColors val="1"/>
        <ser>
          <idx val="0"/>
          <order val="0"/>
          <tx>
            <strRef>
              <f>'Auswertung'!B22</f>
            </strRef>
          </tx>
          <spPr>
            <a:ln xmlns:a="http://schemas.openxmlformats.org/drawingml/2006/main">
              <a:prstDash val="solid"/>
            </a:ln>
          </spPr>
          <cat>
            <numRef>
              <f>'Auswertung'!$A$23:$A$25</f>
            </numRef>
          </cat>
          <val>
            <numRef>
              <f>'Auswertung'!$B$23:$B$25</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Fristenkontrolle: Zugang vs. Fristende</a:t>
            </a:r>
          </a:p>
        </rich>
      </tx>
    </title>
    <plotArea>
      <lineChart>
        <grouping val="standard"/>
        <ser>
          <idx val="0"/>
          <order val="0"/>
          <tx>
            <strRef>
              <f>'Auswertung'!B27</f>
            </strRef>
          </tx>
          <spPr>
            <a:ln xmlns:a="http://schemas.openxmlformats.org/drawingml/2006/main">
              <a:prstDash val="solid"/>
            </a:ln>
          </spPr>
          <marker>
            <symbol val="none"/>
            <spPr>
              <a:ln xmlns:a="http://schemas.openxmlformats.org/drawingml/2006/main">
                <a:prstDash val="solid"/>
              </a:ln>
            </spPr>
          </marker>
          <cat>
            <numRef>
              <f>'Auswertung'!$A$28:$A$37</f>
            </numRef>
          </cat>
          <val>
            <numRef>
              <f>'Auswertung'!$B$28:$B$37</f>
            </numRef>
          </val>
        </ser>
        <ser>
          <idx val="1"/>
          <order val="1"/>
          <tx>
            <strRef>
              <f>'Auswertung'!C27</f>
            </strRef>
          </tx>
          <spPr>
            <a:ln xmlns:a="http://schemas.openxmlformats.org/drawingml/2006/main">
              <a:prstDash val="solid"/>
            </a:ln>
          </spPr>
          <marker>
            <symbol val="none"/>
            <spPr>
              <a:ln xmlns:a="http://schemas.openxmlformats.org/drawingml/2006/main">
                <a:prstDash val="solid"/>
              </a:ln>
            </spPr>
          </marker>
          <cat>
            <numRef>
              <f>'Auswertung'!$A$28:$A$37</f>
            </numRef>
          </cat>
          <val>
            <numRef>
              <f>'Auswertung'!$C$28:$C$37</f>
            </numRef>
          </val>
        </ser>
        <axId val="10"/>
        <axId val="100"/>
      </lineChart>
      <catAx>
        <axId val="10"/>
        <scaling>
          <orientation val="minMax"/>
        </scaling>
        <axPos val="l"/>
        <title>
          <tx>
            <rich>
              <a:bodyPr xmlns:a="http://schemas.openxmlformats.org/drawingml/2006/main"/>
              <a:p xmlns:a="http://schemas.openxmlformats.org/drawingml/2006/main">
                <a:pPr>
                  <a:defRPr/>
                </a:pPr>
                <a:r>
                  <a:t>Fall-ID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Datum</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4</col>
      <colOff>0</colOff>
      <row>2</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19</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4</col>
      <colOff>0</colOff>
      <row>35</row>
      <rowOff>0</rowOff>
    </from>
    <ext cx="720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2"/>
  <sheetViews>
    <sheetView workbookViewId="0">
      <pane ySplit="2" topLeftCell="A3" activePane="bottomLeft" state="frozen"/>
      <selection pane="bottomLeft" activeCell="A1" sqref="A1"/>
    </sheetView>
  </sheetViews>
  <sheetFormatPr baseColWidth="8" defaultRowHeight="15"/>
  <cols>
    <col width="12" customWidth="1" min="1" max="1"/>
    <col width="18" customWidth="1" min="2" max="2"/>
    <col width="12" customWidth="1" min="3" max="3"/>
    <col width="32" customWidth="1" min="4" max="4"/>
    <col width="12" customWidth="1" min="5" max="5"/>
    <col width="14" customWidth="1" min="6" max="6"/>
    <col width="18" customWidth="1" min="7" max="7"/>
    <col width="15" customWidth="1" min="8" max="8"/>
    <col width="16" customWidth="1" min="9" max="9"/>
    <col width="18" customWidth="1" min="10" max="10"/>
    <col width="18" customWidth="1" min="11" max="11"/>
    <col width="18" customWidth="1" min="12" max="12"/>
    <col width="14" customWidth="1" min="13" max="13"/>
    <col width="14" customWidth="1" min="14" max="14"/>
    <col width="16" customWidth="1" min="15" max="15"/>
    <col width="14" customWidth="1" min="16" max="16"/>
    <col width="16" customWidth="1" min="17" max="17"/>
    <col width="16" customWidth="1" min="18" max="18"/>
    <col width="18" customWidth="1" min="19" max="19"/>
    <col width="30" customWidth="1" min="20" max="20"/>
  </cols>
  <sheetData>
    <row r="1" ht="24" customHeight="1">
      <c r="A1" s="1" t="inlineStr">
        <is>
          <t>Übersicht Mieterhöhungen und Widerspruchsprüfung</t>
        </is>
      </c>
    </row>
    <row r="2">
      <c r="A2" s="2" t="inlineStr">
        <is>
          <t>Fall-ID</t>
        </is>
      </c>
      <c r="B2" s="2" t="inlineStr">
        <is>
          <t>Mietername</t>
        </is>
      </c>
      <c r="C2" s="2" t="inlineStr">
        <is>
          <t>Stadt</t>
        </is>
      </c>
      <c r="D2" s="2" t="inlineStr">
        <is>
          <t>Objektadresse</t>
        </is>
      </c>
      <c r="E2" s="2" t="inlineStr">
        <is>
          <t>Wohnfläche m²</t>
        </is>
      </c>
      <c r="F2" s="2" t="inlineStr">
        <is>
          <t>Kaltmiete alt €</t>
        </is>
      </c>
      <c r="G2" s="2" t="inlineStr">
        <is>
          <t>Kaltmiete neu angefragt €</t>
        </is>
      </c>
      <c r="H2" s="2" t="inlineStr">
        <is>
          <t>Erhöhungsbetrag €</t>
        </is>
      </c>
      <c r="I2" s="2" t="inlineStr">
        <is>
          <t>Erhöhungsprozentsatz %</t>
        </is>
      </c>
      <c r="J2" s="2" t="inlineStr">
        <is>
          <t>Datum Schreiben Vermieter</t>
        </is>
      </c>
      <c r="K2" s="2" t="inlineStr">
        <is>
          <t>Datum Zugang beim Mieter</t>
        </is>
      </c>
      <c r="L2" s="2" t="inlineStr">
        <is>
          <t>Ende Zustimmungsfrist</t>
        </is>
      </c>
      <c r="M2" s="2" t="inlineStr">
        <is>
          <t>Mietspiegel €/m²</t>
        </is>
      </c>
      <c r="N2" s="2" t="inlineStr">
        <is>
          <t>Kappungsgrenze %</t>
        </is>
      </c>
      <c r="O2" s="2" t="inlineStr">
        <is>
          <t>Zulässige Erhöhung €</t>
        </is>
      </c>
      <c r="P2" s="2" t="inlineStr">
        <is>
          <t>Erhöhungsstatus</t>
        </is>
      </c>
      <c r="Q2" s="2" t="inlineStr">
        <is>
          <t>Widerspruch nötig?</t>
        </is>
      </c>
      <c r="R2" s="2" t="inlineStr">
        <is>
          <t>Widerspruchsfrist in Tagen</t>
        </is>
      </c>
      <c r="S2" s="2" t="inlineStr">
        <is>
          <t>Geplanter Widerspruchsversand</t>
        </is>
      </c>
      <c r="T2" s="2" t="inlineStr">
        <is>
          <t>Notiz / Begründung</t>
        </is>
      </c>
    </row>
    <row r="3">
      <c r="A3" s="3" t="inlineStr">
        <is>
          <t>F-2026-001</t>
        </is>
      </c>
      <c r="B3" s="4" t="inlineStr">
        <is>
          <t>Thomas Müller</t>
        </is>
      </c>
      <c r="C3" s="4" t="inlineStr">
        <is>
          <t>Berlin</t>
        </is>
      </c>
      <c r="D3" s="4" t="inlineStr">
        <is>
          <t>Hauptstraße 12, 10115 Berlin</t>
        </is>
      </c>
      <c r="E3" s="5" t="n">
        <v>65</v>
      </c>
      <c r="F3" s="6" t="n">
        <v>750</v>
      </c>
      <c r="G3" s="6" t="n">
        <v>870</v>
      </c>
      <c r="H3" s="7">
        <f>G3-F3</f>
        <v/>
      </c>
      <c r="I3" s="8">
        <f>IFERROR(H3/F3,0)</f>
        <v/>
      </c>
      <c r="J3" s="9" t="n">
        <v>46147</v>
      </c>
      <c r="K3" s="9" t="n">
        <v>46152</v>
      </c>
      <c r="L3" s="9">
        <f>EDATE(K3,2)+14</f>
        <v/>
      </c>
      <c r="M3" s="10" t="n">
        <v>13.5</v>
      </c>
      <c r="N3" s="11" t="n">
        <v>0.2</v>
      </c>
      <c r="O3" s="7">
        <f>MAX(0,MIN(F3*N3,M3*E3-F3))</f>
        <v/>
      </c>
      <c r="P3" s="3">
        <f>IF(G3&gt;F3+O3,"Unzulässig",IF(G3&gt;=F3+O3*0.9,"Prüfen","Zulässig"))</f>
        <v/>
      </c>
      <c r="Q3" s="3">
        <f>IF(P3="Unzulässig","Ja",IF(P3="Prüfen","Prüfen empfohlen","Nein"))</f>
        <v/>
      </c>
      <c r="R3" s="5">
        <f>L3-TODAY()</f>
        <v/>
      </c>
      <c r="S3" s="9">
        <f>IFERROR(IF(R3&lt;0,"Frist abgelaufen",IF(R3&lt;=14,L3-3,TODAY()+1)),"")</f>
        <v/>
      </c>
      <c r="T3" s="4" t="inlineStr">
        <is>
          <t>Erhöhungsschreiben liegt vor</t>
        </is>
      </c>
    </row>
    <row r="4">
      <c r="A4" s="12" t="inlineStr">
        <is>
          <t>F-2026-002</t>
        </is>
      </c>
      <c r="B4" s="13" t="inlineStr">
        <is>
          <t>Sabine Schneider</t>
        </is>
      </c>
      <c r="C4" s="13" t="inlineStr">
        <is>
          <t>München</t>
        </is>
      </c>
      <c r="D4" s="13" t="inlineStr">
        <is>
          <t>Leopoldstraße 45, 80802 München</t>
        </is>
      </c>
      <c r="E4" s="14" t="n">
        <v>72</v>
      </c>
      <c r="F4" s="6" t="n">
        <v>980</v>
      </c>
      <c r="G4" s="6" t="n">
        <v>1150</v>
      </c>
      <c r="H4" s="15">
        <f>G4-F4</f>
        <v/>
      </c>
      <c r="I4" s="16">
        <f>IFERROR(H4/F4,0)</f>
        <v/>
      </c>
      <c r="J4" s="17" t="n">
        <v>46124</v>
      </c>
      <c r="K4" s="17" t="n">
        <v>46127</v>
      </c>
      <c r="L4" s="17">
        <f>EDATE(K4,2)+14</f>
        <v/>
      </c>
      <c r="M4" s="10" t="n">
        <v>18.2</v>
      </c>
      <c r="N4" s="11" t="n">
        <v>0.15</v>
      </c>
      <c r="O4" s="15">
        <f>MAX(0,MIN(F4*N4,M4*E4-F4))</f>
        <v/>
      </c>
      <c r="P4" s="12">
        <f>IF(G4&gt;F4+O4,"Unzulässig",IF(G4&gt;=F4+O4*0.9,"Prüfen","Zulässig"))</f>
        <v/>
      </c>
      <c r="Q4" s="12">
        <f>IF(P4="Unzulässig","Ja",IF(P4="Prüfen","Prüfen empfohlen","Nein"))</f>
        <v/>
      </c>
      <c r="R4" s="14">
        <f>L4-TODAY()</f>
        <v/>
      </c>
      <c r="S4" s="17">
        <f>IFERROR(IF(R4&lt;0,"Frist abgelaufen",IF(R4&lt;=14,L4-3,TODAY()+1)),"")</f>
        <v/>
      </c>
      <c r="T4" s="13" t="inlineStr">
        <is>
          <t>Mietspiegel liegt deutlich niedriger</t>
        </is>
      </c>
    </row>
    <row r="5">
      <c r="A5" s="3" t="inlineStr">
        <is>
          <t>F-2026-003</t>
        </is>
      </c>
      <c r="B5" s="4" t="inlineStr">
        <is>
          <t>Michael Fischer</t>
        </is>
      </c>
      <c r="C5" s="4" t="inlineStr">
        <is>
          <t>Hamburg</t>
        </is>
      </c>
      <c r="D5" s="4" t="inlineStr">
        <is>
          <t>Elbchaussee 88, 22763 Hamburg</t>
        </is>
      </c>
      <c r="E5" s="5" t="n">
        <v>58</v>
      </c>
      <c r="F5" s="6" t="n">
        <v>700</v>
      </c>
      <c r="G5" s="6" t="n">
        <v>745</v>
      </c>
      <c r="H5" s="7">
        <f>G5-F5</f>
        <v/>
      </c>
      <c r="I5" s="8">
        <f>IFERROR(H5/F5,0)</f>
        <v/>
      </c>
      <c r="J5" s="9" t="n">
        <v>46175</v>
      </c>
      <c r="K5" s="9" t="n">
        <v>46179</v>
      </c>
      <c r="L5" s="9">
        <f>EDATE(K5,2)+14</f>
        <v/>
      </c>
      <c r="M5" s="10" t="n">
        <v>14.8</v>
      </c>
      <c r="N5" s="11" t="n">
        <v>0.2</v>
      </c>
      <c r="O5" s="7">
        <f>MAX(0,MIN(F5*N5,M5*E5-F5))</f>
        <v/>
      </c>
      <c r="P5" s="3">
        <f>IF(G5&gt;F5+O5,"Unzulässig",IF(G5&gt;=F5+O5*0.9,"Prüfen","Zulässig"))</f>
        <v/>
      </c>
      <c r="Q5" s="3">
        <f>IF(P5="Unzulässig","Ja",IF(P5="Prüfen","Prüfen empfohlen","Nein"))</f>
        <v/>
      </c>
      <c r="R5" s="5">
        <f>L5-TODAY()</f>
        <v/>
      </c>
      <c r="S5" s="9">
        <f>IFERROR(IF(R5&lt;0,"Frist abgelaufen",IF(R5&lt;=14,L5-3,TODAY()+1)),"")</f>
        <v/>
      </c>
      <c r="T5" s="4" t="inlineStr">
        <is>
          <t>Moderate Erhöhung, unauffällig</t>
        </is>
      </c>
    </row>
    <row r="6">
      <c r="A6" s="12" t="inlineStr">
        <is>
          <t>F-2026-004</t>
        </is>
      </c>
      <c r="B6" s="13" t="inlineStr">
        <is>
          <t>Andrea Weber</t>
        </is>
      </c>
      <c r="C6" s="13" t="inlineStr">
        <is>
          <t>Köln</t>
        </is>
      </c>
      <c r="D6" s="13" t="inlineStr">
        <is>
          <t>Ringstraße 21, 50667 Köln</t>
        </is>
      </c>
      <c r="E6" s="14" t="n">
        <v>48</v>
      </c>
      <c r="F6" s="6" t="n">
        <v>650</v>
      </c>
      <c r="G6" s="6" t="n">
        <v>810</v>
      </c>
      <c r="H6" s="15">
        <f>G6-F6</f>
        <v/>
      </c>
      <c r="I6" s="16">
        <f>IFERROR(H6/F6,0)</f>
        <v/>
      </c>
      <c r="J6" s="17" t="n">
        <v>46101</v>
      </c>
      <c r="K6" s="17" t="n">
        <v>46106</v>
      </c>
      <c r="L6" s="17">
        <f>EDATE(K6,2)+14</f>
        <v/>
      </c>
      <c r="M6" s="10" t="n">
        <v>12.9</v>
      </c>
      <c r="N6" s="11" t="n">
        <v>0.2</v>
      </c>
      <c r="O6" s="15">
        <f>MAX(0,MIN(F6*N6,M6*E6-F6))</f>
        <v/>
      </c>
      <c r="P6" s="12">
        <f>IF(G6&gt;F6+O6,"Unzulässig",IF(G6&gt;=F6+O6*0.9,"Prüfen","Zulässig"))</f>
        <v/>
      </c>
      <c r="Q6" s="12">
        <f>IF(P6="Unzulässig","Ja",IF(P6="Prüfen","Prüfen empfohlen","Nein"))</f>
        <v/>
      </c>
      <c r="R6" s="14">
        <f>L6-TODAY()</f>
        <v/>
      </c>
      <c r="S6" s="17">
        <f>IFERROR(IF(R6&lt;0,"Frist abgelaufen",IF(R6&lt;=14,L6-3,TODAY()+1)),"")</f>
        <v/>
      </c>
      <c r="T6" s="13" t="inlineStr">
        <is>
          <t>Deutliche Überschreitung Kappungsgrenze</t>
        </is>
      </c>
    </row>
    <row r="7">
      <c r="A7" s="3" t="inlineStr">
        <is>
          <t>F-2026-005</t>
        </is>
      </c>
      <c r="B7" s="4" t="inlineStr">
        <is>
          <t>Stefan Wagner</t>
        </is>
      </c>
      <c r="C7" s="4" t="inlineStr">
        <is>
          <t>Frankfurt</t>
        </is>
      </c>
      <c r="D7" s="4" t="inlineStr">
        <is>
          <t>Bockenheimer Landstr. 5, 60325 Frankfurt</t>
        </is>
      </c>
      <c r="E7" s="5" t="n">
        <v>90</v>
      </c>
      <c r="F7" s="6" t="n">
        <v>1200</v>
      </c>
      <c r="G7" s="6" t="n">
        <v>1400</v>
      </c>
      <c r="H7" s="7">
        <f>G7-F7</f>
        <v/>
      </c>
      <c r="I7" s="8">
        <f>IFERROR(H7/F7,0)</f>
        <v/>
      </c>
      <c r="J7" s="9" t="n">
        <v>46157</v>
      </c>
      <c r="K7" s="9" t="n">
        <v>46160</v>
      </c>
      <c r="L7" s="9">
        <f>EDATE(K7,2)+14</f>
        <v/>
      </c>
      <c r="M7" s="10" t="n">
        <v>16.5</v>
      </c>
      <c r="N7" s="11" t="n">
        <v>0.15</v>
      </c>
      <c r="O7" s="7">
        <f>MAX(0,MIN(F7*N7,M7*E7-F7))</f>
        <v/>
      </c>
      <c r="P7" s="3">
        <f>IF(G7&gt;F7+O7,"Unzulässig",IF(G7&gt;=F7+O7*0.9,"Prüfen","Zulässig"))</f>
        <v/>
      </c>
      <c r="Q7" s="3">
        <f>IF(P7="Unzulässig","Ja",IF(P7="Prüfen","Prüfen empfohlen","Nein"))</f>
        <v/>
      </c>
      <c r="R7" s="5">
        <f>L7-TODAY()</f>
        <v/>
      </c>
      <c r="S7" s="9">
        <f>IFERROR(IF(R7&lt;0,"Frist abgelaufen",IF(R7&lt;=14,L7-3,TODAY()+1)),"")</f>
        <v/>
      </c>
      <c r="T7" s="4" t="inlineStr">
        <is>
          <t>Grenzfall, genaue Prüfung nötig</t>
        </is>
      </c>
    </row>
    <row r="8">
      <c r="A8" s="12" t="inlineStr">
        <is>
          <t>F-2026-006</t>
        </is>
      </c>
      <c r="B8" s="13" t="inlineStr">
        <is>
          <t>Petra Becker</t>
        </is>
      </c>
      <c r="C8" s="13" t="inlineStr">
        <is>
          <t>Stuttgart</t>
        </is>
      </c>
      <c r="D8" s="13" t="inlineStr">
        <is>
          <t>Königstraße 33, 70173 Stuttgart</t>
        </is>
      </c>
      <c r="E8" s="14" t="n">
        <v>55</v>
      </c>
      <c r="F8" s="6" t="n">
        <v>720</v>
      </c>
      <c r="G8" s="6" t="n">
        <v>760</v>
      </c>
      <c r="H8" s="15">
        <f>G8-F8</f>
        <v/>
      </c>
      <c r="I8" s="16">
        <f>IFERROR(H8/F8,0)</f>
        <v/>
      </c>
      <c r="J8" s="17" t="n">
        <v>46174</v>
      </c>
      <c r="K8" s="17" t="n">
        <v>46177</v>
      </c>
      <c r="L8" s="17">
        <f>EDATE(K8,2)+14</f>
        <v/>
      </c>
      <c r="M8" s="10" t="n">
        <v>13.1</v>
      </c>
      <c r="N8" s="11" t="n">
        <v>0.2</v>
      </c>
      <c r="O8" s="15">
        <f>MAX(0,MIN(F8*N8,M8*E8-F8))</f>
        <v/>
      </c>
      <c r="P8" s="12">
        <f>IF(G8&gt;F8+O8,"Unzulässig",IF(G8&gt;=F8+O8*0.9,"Prüfen","Zulässig"))</f>
        <v/>
      </c>
      <c r="Q8" s="12">
        <f>IF(P8="Unzulässig","Ja",IF(P8="Prüfen","Prüfen empfohlen","Nein"))</f>
        <v/>
      </c>
      <c r="R8" s="14">
        <f>L8-TODAY()</f>
        <v/>
      </c>
      <c r="S8" s="17">
        <f>IFERROR(IF(R8&lt;0,"Frist abgelaufen",IF(R8&lt;=14,L8-3,TODAY()+1)),"")</f>
        <v/>
      </c>
      <c r="T8" s="13" t="inlineStr">
        <is>
          <t>Geringe Erhöhung im Rahmen</t>
        </is>
      </c>
    </row>
    <row r="9">
      <c r="A9" s="3" t="inlineStr">
        <is>
          <t>F-2026-007</t>
        </is>
      </c>
      <c r="B9" s="4" t="inlineStr">
        <is>
          <t>Andreas Hoffmann</t>
        </is>
      </c>
      <c r="C9" s="4" t="inlineStr">
        <is>
          <t>Düsseldorf</t>
        </is>
      </c>
      <c r="D9" s="4" t="inlineStr">
        <is>
          <t>Kö-Allee 10, 40212 Düsseldorf</t>
        </is>
      </c>
      <c r="E9" s="5" t="n">
        <v>100</v>
      </c>
      <c r="F9" s="6" t="n">
        <v>1350</v>
      </c>
      <c r="G9" s="6" t="n">
        <v>1620</v>
      </c>
      <c r="H9" s="7">
        <f>G9-F9</f>
        <v/>
      </c>
      <c r="I9" s="8">
        <f>IFERROR(H9/F9,0)</f>
        <v/>
      </c>
      <c r="J9" s="9" t="n">
        <v>46122</v>
      </c>
      <c r="K9" s="9" t="n">
        <v>46126</v>
      </c>
      <c r="L9" s="9">
        <f>EDATE(K9,2)+14</f>
        <v/>
      </c>
      <c r="M9" s="10" t="n">
        <v>15.9</v>
      </c>
      <c r="N9" s="11" t="n">
        <v>0.15</v>
      </c>
      <c r="O9" s="7">
        <f>MAX(0,MIN(F9*N9,M9*E9-F9))</f>
        <v/>
      </c>
      <c r="P9" s="3">
        <f>IF(G9&gt;F9+O9,"Unzulässig",IF(G9&gt;=F9+O9*0.9,"Prüfen","Zulässig"))</f>
        <v/>
      </c>
      <c r="Q9" s="3">
        <f>IF(P9="Unzulässig","Ja",IF(P9="Prüfen","Prüfen empfohlen","Nein"))</f>
        <v/>
      </c>
      <c r="R9" s="5">
        <f>L9-TODAY()</f>
        <v/>
      </c>
      <c r="S9" s="9">
        <f>IFERROR(IF(R9&lt;0,"Frist abgelaufen",IF(R9&lt;=14,L9-3,TODAY()+1)),"")</f>
        <v/>
      </c>
      <c r="T9" s="4" t="inlineStr">
        <is>
          <t>Erhöhung über Kappungsgrenze</t>
        </is>
      </c>
    </row>
    <row r="10">
      <c r="A10" s="12" t="inlineStr">
        <is>
          <t>F-2026-008</t>
        </is>
      </c>
      <c r="B10" s="13" t="inlineStr">
        <is>
          <t>Claudia Schäfer</t>
        </is>
      </c>
      <c r="C10" s="13" t="inlineStr">
        <is>
          <t>Leipzig</t>
        </is>
      </c>
      <c r="D10" s="13" t="inlineStr">
        <is>
          <t>Karl-Liebknecht-Str. 60, 04275 Leipzig</t>
        </is>
      </c>
      <c r="E10" s="14" t="n">
        <v>42</v>
      </c>
      <c r="F10" s="6" t="n">
        <v>620</v>
      </c>
      <c r="G10" s="6" t="n">
        <v>660</v>
      </c>
      <c r="H10" s="15">
        <f>G10-F10</f>
        <v/>
      </c>
      <c r="I10" s="16">
        <f>IFERROR(H10/F10,0)</f>
        <v/>
      </c>
      <c r="J10" s="17" t="n">
        <v>46164</v>
      </c>
      <c r="K10" s="17" t="n">
        <v>46167</v>
      </c>
      <c r="L10" s="17">
        <f>EDATE(K10,2)+14</f>
        <v/>
      </c>
      <c r="M10" s="10" t="n">
        <v>9.800000000000001</v>
      </c>
      <c r="N10" s="11" t="n">
        <v>0.2</v>
      </c>
      <c r="O10" s="15">
        <f>MAX(0,MIN(F10*N10,M10*E10-F10))</f>
        <v/>
      </c>
      <c r="P10" s="12">
        <f>IF(G10&gt;F10+O10,"Unzulässig",IF(G10&gt;=F10+O10*0.9,"Prüfen","Zulässig"))</f>
        <v/>
      </c>
      <c r="Q10" s="12">
        <f>IF(P10="Unzulässig","Ja",IF(P10="Prüfen","Prüfen empfohlen","Nein"))</f>
        <v/>
      </c>
      <c r="R10" s="14">
        <f>L10-TODAY()</f>
        <v/>
      </c>
      <c r="S10" s="17">
        <f>IFERROR(IF(R10&lt;0,"Frist abgelaufen",IF(R10&lt;=14,L10-3,TODAY()+1)),"")</f>
        <v/>
      </c>
      <c r="T10" s="13" t="inlineStr">
        <is>
          <t>Unauffälliger Fall</t>
        </is>
      </c>
    </row>
    <row r="11">
      <c r="A11" s="3" t="inlineStr">
        <is>
          <t>F-2026-009</t>
        </is>
      </c>
      <c r="B11" s="4" t="inlineStr">
        <is>
          <t>Markus Bauer</t>
        </is>
      </c>
      <c r="C11" s="4" t="inlineStr">
        <is>
          <t>Dresden</t>
        </is>
      </c>
      <c r="D11" s="4" t="inlineStr">
        <is>
          <t>Prager Straße 8, 01069 Dresden</t>
        </is>
      </c>
      <c r="E11" s="5" t="n">
        <v>75</v>
      </c>
      <c r="F11" s="6" t="n">
        <v>850</v>
      </c>
      <c r="G11" s="6" t="n">
        <v>1050</v>
      </c>
      <c r="H11" s="7">
        <f>G11-F11</f>
        <v/>
      </c>
      <c r="I11" s="8">
        <f>IFERROR(H11/F11,0)</f>
        <v/>
      </c>
      <c r="J11" s="9" t="n">
        <v>46086</v>
      </c>
      <c r="K11" s="9" t="n">
        <v>46090</v>
      </c>
      <c r="L11" s="9">
        <f>EDATE(K11,2)+14</f>
        <v/>
      </c>
      <c r="M11" s="10" t="n">
        <v>11.4</v>
      </c>
      <c r="N11" s="11" t="n">
        <v>0.2</v>
      </c>
      <c r="O11" s="7">
        <f>MAX(0,MIN(F11*N11,M11*E11-F11))</f>
        <v/>
      </c>
      <c r="P11" s="3">
        <f>IF(G11&gt;F11+O11,"Unzulässig",IF(G11&gt;=F11+O11*0.9,"Prüfen","Zulässig"))</f>
        <v/>
      </c>
      <c r="Q11" s="3">
        <f>IF(P11="Unzulässig","Ja",IF(P11="Prüfen","Prüfen empfohlen","Nein"))</f>
        <v/>
      </c>
      <c r="R11" s="5">
        <f>L11-TODAY()</f>
        <v/>
      </c>
      <c r="S11" s="9">
        <f>IFERROR(IF(R11&lt;0,"Frist abgelaufen",IF(R11&lt;=14,L11-3,TODAY()+1)),"")</f>
        <v/>
      </c>
      <c r="T11" s="4" t="inlineStr">
        <is>
          <t>Erhöhung deutlich über Kappungsgrenze</t>
        </is>
      </c>
    </row>
    <row r="12">
      <c r="A12" s="12" t="inlineStr">
        <is>
          <t>F-2026-010</t>
        </is>
      </c>
      <c r="B12" s="13" t="inlineStr">
        <is>
          <t>Nicole Richter</t>
        </is>
      </c>
      <c r="C12" s="13" t="inlineStr">
        <is>
          <t>Hannover</t>
        </is>
      </c>
      <c r="D12" s="13" t="inlineStr">
        <is>
          <t>Georgstraße 15, 30159 Hannover</t>
        </is>
      </c>
      <c r="E12" s="14" t="n">
        <v>112</v>
      </c>
      <c r="F12" s="6" t="n">
        <v>1450</v>
      </c>
      <c r="G12" s="6" t="n">
        <v>1650</v>
      </c>
      <c r="H12" s="15">
        <f>G12-F12</f>
        <v/>
      </c>
      <c r="I12" s="16">
        <f>IFERROR(H12/F12,0)</f>
        <v/>
      </c>
      <c r="J12" s="17" t="n">
        <v>46170</v>
      </c>
      <c r="K12" s="17" t="n">
        <v>46174</v>
      </c>
      <c r="L12" s="17">
        <f>EDATE(K12,2)+14</f>
        <v/>
      </c>
      <c r="M12" s="10" t="n">
        <v>14</v>
      </c>
      <c r="N12" s="11" t="n">
        <v>0.15</v>
      </c>
      <c r="O12" s="15">
        <f>MAX(0,MIN(F12*N12,M12*E12-F12))</f>
        <v/>
      </c>
      <c r="P12" s="12">
        <f>IF(G12&gt;F12+O12,"Unzulässig",IF(G12&gt;=F12+O12*0.9,"Prüfen","Zulässig"))</f>
        <v/>
      </c>
      <c r="Q12" s="12">
        <f>IF(P12="Unzulässig","Ja",IF(P12="Prüfen","Prüfen empfohlen","Nein"))</f>
        <v/>
      </c>
      <c r="R12" s="14">
        <f>L12-TODAY()</f>
        <v/>
      </c>
      <c r="S12" s="17">
        <f>IFERROR(IF(R12&lt;0,"Frist abgelaufen",IF(R12&lt;=14,L12-3,TODAY()+1)),"")</f>
        <v/>
      </c>
      <c r="T12" s="13" t="inlineStr">
        <is>
          <t>Fristablauf beachten</t>
        </is>
      </c>
    </row>
  </sheetData>
  <mergeCells count="1">
    <mergeCell ref="A1:T1"/>
  </mergeCells>
  <conditionalFormatting sqref="I3:I12">
    <cfRule type="expression" priority="1" dxfId="0" stopIfTrue="1">
      <formula>$I3&gt;$N3</formula>
    </cfRule>
  </conditionalFormatting>
  <conditionalFormatting sqref="P3:P12">
    <cfRule type="expression" priority="2" dxfId="1" stopIfTrue="1">
      <formula>$P3="Zulässig"</formula>
    </cfRule>
    <cfRule type="expression" priority="3" dxfId="0" stopIfTrue="1">
      <formula>$P3="Unzulässig"</formula>
    </cfRule>
  </conditionalFormatting>
  <conditionalFormatting sqref="R3:R12">
    <cfRule type="expression" priority="4" dxfId="2" stopIfTrue="1">
      <formula>AND($R3&gt;=0,$R3&lt;=14)</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2"/>
  <sheetViews>
    <sheetView workbookViewId="0">
      <pane ySplit="2" topLeftCell="A3" activePane="bottomLeft" state="frozen"/>
      <selection pane="bottomLeft" activeCell="A1" sqref="A1"/>
    </sheetView>
  </sheetViews>
  <sheetFormatPr baseColWidth="8" defaultRowHeight="15"/>
  <cols>
    <col width="12" customWidth="1" min="1" max="1"/>
    <col width="18" customWidth="1" min="2" max="2"/>
    <col width="22" customWidth="1" min="3" max="3"/>
    <col width="32" customWidth="1" min="4" max="4"/>
    <col width="18" customWidth="1" min="5" max="5"/>
    <col width="18" customWidth="1" min="6" max="6"/>
    <col width="32" customWidth="1" min="7" max="7"/>
    <col width="16" customWidth="1" min="8" max="8"/>
    <col width="18" customWidth="1" min="9" max="9"/>
    <col width="14" customWidth="1" min="10" max="10"/>
    <col width="20" customWidth="1" min="11" max="11"/>
    <col width="26" customWidth="1" min="12" max="12"/>
  </cols>
  <sheetData>
    <row r="1" ht="24" customHeight="1">
      <c r="A1" s="18" t="inlineStr">
        <is>
          <t>Vorlage und Nachverfolgung der Widerspruchsschreiben</t>
        </is>
      </c>
    </row>
    <row r="2">
      <c r="A2" s="19" t="inlineStr">
        <is>
          <t>Fall-ID</t>
        </is>
      </c>
      <c r="B2" s="19" t="inlineStr">
        <is>
          <t>Mietername</t>
        </is>
      </c>
      <c r="C2" s="19" t="inlineStr">
        <is>
          <t>Vermieter</t>
        </is>
      </c>
      <c r="D2" s="19" t="inlineStr">
        <is>
          <t>Wohnungsadresse</t>
        </is>
      </c>
      <c r="E2" s="19" t="inlineStr">
        <is>
          <t>Datum der Mieterhöhung</t>
        </is>
      </c>
      <c r="F2" s="19" t="inlineStr">
        <is>
          <t>Datum des Widerspruchs</t>
        </is>
      </c>
      <c r="G2" s="19" t="inlineStr">
        <is>
          <t>Widerspruchsgrund</t>
        </is>
      </c>
      <c r="H2" s="19" t="inlineStr">
        <is>
          <t>Rechtsgrundlage</t>
        </is>
      </c>
      <c r="I2" s="19" t="inlineStr">
        <is>
          <t>Versandart</t>
        </is>
      </c>
      <c r="J2" s="19" t="inlineStr">
        <is>
          <t>Status</t>
        </is>
      </c>
      <c r="K2" s="19" t="inlineStr">
        <is>
          <t>Rückmeldung Vermieter</t>
        </is>
      </c>
      <c r="L2" s="19" t="inlineStr">
        <is>
          <t>Nächste Maßnahme</t>
        </is>
      </c>
    </row>
    <row r="3">
      <c r="A3" s="3" t="inlineStr">
        <is>
          <t>F-2026-001</t>
        </is>
      </c>
      <c r="B3" s="3">
        <f>IFERROR(VLOOKUP($A3,Mieterhöhungen!$A:$T,2,0),"Fall nicht gefunden")</f>
        <v/>
      </c>
      <c r="C3" s="20" t="inlineStr">
        <is>
          <t>Vermieter Krause GmbH</t>
        </is>
      </c>
      <c r="D3" s="3">
        <f>IFERROR(VLOOKUP($A3,Mieterhöhungen!$A:$T,4,0),"Fall nicht gefunden")</f>
        <v/>
      </c>
      <c r="E3" s="9">
        <f>IFERROR(VLOOKUP($A3,Mieterhöhungen!$A:$T,10,0),"")</f>
        <v/>
      </c>
      <c r="F3" s="21" t="n">
        <v>46175</v>
      </c>
      <c r="G3" s="4" t="inlineStr">
        <is>
          <t>Erhöhung liegt im Rahmen, kein Widerspruch erforderlich</t>
        </is>
      </c>
      <c r="H3" s="3" t="inlineStr">
        <is>
          <t>§ 558 BGB</t>
        </is>
      </c>
      <c r="I3" s="3" t="inlineStr">
        <is>
          <t>Einwurf-Einschreiben</t>
        </is>
      </c>
      <c r="J3" s="3">
        <f>IFERROR(IF(F3="","Noch offen",IF(F3&lt;=VLOOKUP($A3,Mieterhöhungen!$A:$T,12,0),"Fristgerecht","Zu spät")),"Fall nicht gefunden")</f>
        <v/>
      </c>
      <c r="K3" s="4" t="inlineStr">
        <is>
          <t>Keine Rückmeldung</t>
        </is>
      </c>
      <c r="L3" s="4" t="inlineStr">
        <is>
          <t>Beobachten</t>
        </is>
      </c>
    </row>
    <row r="4">
      <c r="A4" s="12" t="inlineStr">
        <is>
          <t>F-2026-002</t>
        </is>
      </c>
      <c r="B4" s="12">
        <f>IFERROR(VLOOKUP($A4,Mieterhöhungen!$A:$T,2,0),"Fall nicht gefunden")</f>
        <v/>
      </c>
      <c r="C4" s="20" t="inlineStr">
        <is>
          <t>Immobilien Nord AG</t>
        </is>
      </c>
      <c r="D4" s="12">
        <f>IFERROR(VLOOKUP($A4,Mieterhöhungen!$A:$T,4,0),"Fall nicht gefunden")</f>
        <v/>
      </c>
      <c r="E4" s="17">
        <f>IFERROR(VLOOKUP($A4,Mieterhöhungen!$A:$T,10,0),"")</f>
        <v/>
      </c>
      <c r="F4" s="21" t="n">
        <v>46142</v>
      </c>
      <c r="G4" s="13" t="inlineStr">
        <is>
          <t>Ortsübliche Vergleichsmiete wird überschritten</t>
        </is>
      </c>
      <c r="H4" s="12" t="inlineStr">
        <is>
          <t>§ 558 BGB</t>
        </is>
      </c>
      <c r="I4" s="12" t="inlineStr">
        <is>
          <t>Einwurf-Einschreiben</t>
        </is>
      </c>
      <c r="J4" s="12">
        <f>IFERROR(IF(F4="","Noch offen",IF(F4&lt;=VLOOKUP($A4,Mieterhöhungen!$A:$T,12,0),"Fristgerecht","Zu spät")),"Fall nicht gefunden")</f>
        <v/>
      </c>
      <c r="K4" s="13" t="inlineStr">
        <is>
          <t>Widerspruch abgelehnt</t>
        </is>
      </c>
      <c r="L4" s="13" t="inlineStr">
        <is>
          <t>Rechtsberatung einholen</t>
        </is>
      </c>
    </row>
    <row r="5">
      <c r="A5" s="3" t="inlineStr">
        <is>
          <t>F-2026-003</t>
        </is>
      </c>
      <c r="B5" s="3">
        <f>IFERROR(VLOOKUP($A5,Mieterhöhungen!$A:$T,2,0),"Fall nicht gefunden")</f>
        <v/>
      </c>
      <c r="C5" s="20" t="inlineStr">
        <is>
          <t>Familie Petersen</t>
        </is>
      </c>
      <c r="D5" s="3">
        <f>IFERROR(VLOOKUP($A5,Mieterhöhungen!$A:$T,4,0),"Fall nicht gefunden")</f>
        <v/>
      </c>
      <c r="E5" s="9">
        <f>IFERROR(VLOOKUP($A5,Mieterhöhungen!$A:$T,10,0),"")</f>
        <v/>
      </c>
      <c r="F5" s="21" t="inlineStr"/>
      <c r="G5" s="4" t="inlineStr">
        <is>
          <t>Erhöhung angemessen, keine Einwände</t>
        </is>
      </c>
      <c r="H5" s="3" t="inlineStr">
        <is>
          <t>§ 558 BGB</t>
        </is>
      </c>
      <c r="I5" s="3" t="inlineStr">
        <is>
          <t>E-Mail</t>
        </is>
      </c>
      <c r="J5" s="3">
        <f>IFERROR(IF(F5="","Noch offen",IF(F5&lt;=VLOOKUP($A5,Mieterhöhungen!$A:$T,12,0),"Fristgerecht","Zu spät")),"Fall nicht gefunden")</f>
        <v/>
      </c>
      <c r="K5" s="4" t="inlineStr">
        <is>
          <t>Keine Rückmeldung</t>
        </is>
      </c>
      <c r="L5" s="4" t="inlineStr">
        <is>
          <t>Fall abschließen</t>
        </is>
      </c>
    </row>
    <row r="6">
      <c r="A6" s="12" t="inlineStr">
        <is>
          <t>F-2026-004</t>
        </is>
      </c>
      <c r="B6" s="12">
        <f>IFERROR(VLOOKUP($A6,Mieterhöhungen!$A:$T,2,0),"Fall nicht gefunden")</f>
        <v/>
      </c>
      <c r="C6" s="20" t="inlineStr">
        <is>
          <t>Rheinwohnen Verwaltung</t>
        </is>
      </c>
      <c r="D6" s="12">
        <f>IFERROR(VLOOKUP($A6,Mieterhöhungen!$A:$T,4,0),"Fall nicht gefunden")</f>
        <v/>
      </c>
      <c r="E6" s="17">
        <f>IFERROR(VLOOKUP($A6,Mieterhöhungen!$A:$T,10,0),"")</f>
        <v/>
      </c>
      <c r="F6" s="21" t="n">
        <v>46114</v>
      </c>
      <c r="G6" s="13" t="inlineStr">
        <is>
          <t>Kappungsgrenze deutlich überschritten</t>
        </is>
      </c>
      <c r="H6" s="12" t="inlineStr">
        <is>
          <t>§ 558 Abs. 3 BGB</t>
        </is>
      </c>
      <c r="I6" s="12" t="inlineStr">
        <is>
          <t>Einwurf-Einschreiben</t>
        </is>
      </c>
      <c r="J6" s="12">
        <f>IFERROR(IF(F6="","Noch offen",IF(F6&lt;=VLOOKUP($A6,Mieterhöhungen!$A:$T,12,0),"Fristgerecht","Zu spät")),"Fall nicht gefunden")</f>
        <v/>
      </c>
      <c r="K6" s="13" t="inlineStr">
        <is>
          <t>Rückmeldung ausstehend</t>
        </is>
      </c>
      <c r="L6" s="13" t="inlineStr">
        <is>
          <t>Frist im Blick behalten</t>
        </is>
      </c>
    </row>
    <row r="7">
      <c r="A7" s="3" t="inlineStr">
        <is>
          <t>F-2026-005</t>
        </is>
      </c>
      <c r="B7" s="3">
        <f>IFERROR(VLOOKUP($A7,Mieterhöhungen!$A:$T,2,0),"Fall nicht gefunden")</f>
        <v/>
      </c>
      <c r="C7" s="20" t="inlineStr">
        <is>
          <t>Mainhattan Wohnbau</t>
        </is>
      </c>
      <c r="D7" s="3">
        <f>IFERROR(VLOOKUP($A7,Mieterhöhungen!$A:$T,4,0),"Fall nicht gefunden")</f>
        <v/>
      </c>
      <c r="E7" s="9">
        <f>IFERROR(VLOOKUP($A7,Mieterhöhungen!$A:$T,10,0),"")</f>
        <v/>
      </c>
      <c r="F7" s="21" t="inlineStr"/>
      <c r="G7" s="4" t="inlineStr">
        <is>
          <t>Prüfung Mietspiegel noch offen</t>
        </is>
      </c>
      <c r="H7" s="3" t="inlineStr">
        <is>
          <t>§ 558 BGB</t>
        </is>
      </c>
      <c r="I7" s="3" t="inlineStr">
        <is>
          <t>Post</t>
        </is>
      </c>
      <c r="J7" s="3">
        <f>IFERROR(IF(F7="","Noch offen",IF(F7&lt;=VLOOKUP($A7,Mieterhöhungen!$A:$T,12,0),"Fristgerecht","Zu spät")),"Fall nicht gefunden")</f>
        <v/>
      </c>
      <c r="K7" s="4" t="inlineStr">
        <is>
          <t>Keine Rückmeldung</t>
        </is>
      </c>
      <c r="L7" s="4" t="inlineStr">
        <is>
          <t>Mietspiegel anfordern</t>
        </is>
      </c>
    </row>
    <row r="8">
      <c r="A8" s="12" t="inlineStr">
        <is>
          <t>F-2026-006</t>
        </is>
      </c>
      <c r="B8" s="12">
        <f>IFERROR(VLOOKUP($A8,Mieterhöhungen!$A:$T,2,0),"Fall nicht gefunden")</f>
        <v/>
      </c>
      <c r="C8" s="20" t="inlineStr">
        <is>
          <t>Schwabenhaus Immobilien</t>
        </is>
      </c>
      <c r="D8" s="12">
        <f>IFERROR(VLOOKUP($A8,Mieterhöhungen!$A:$T,4,0),"Fall nicht gefunden")</f>
        <v/>
      </c>
      <c r="E8" s="17">
        <f>IFERROR(VLOOKUP($A8,Mieterhöhungen!$A:$T,10,0),"")</f>
        <v/>
      </c>
      <c r="F8" s="21" t="n">
        <v>46183</v>
      </c>
      <c r="G8" s="13" t="inlineStr">
        <is>
          <t>Erhöhung im zulässigen Rahmen</t>
        </is>
      </c>
      <c r="H8" s="12" t="inlineStr">
        <is>
          <t>§ 558 BGB</t>
        </is>
      </c>
      <c r="I8" s="12" t="inlineStr">
        <is>
          <t>E-Mail</t>
        </is>
      </c>
      <c r="J8" s="12">
        <f>IFERROR(IF(F8="","Noch offen",IF(F8&lt;=VLOOKUP($A8,Mieterhöhungen!$A:$T,12,0),"Fristgerecht","Zu spät")),"Fall nicht gefunden")</f>
        <v/>
      </c>
      <c r="K8" s="13" t="inlineStr">
        <is>
          <t>Zustimmung erteilt</t>
        </is>
      </c>
      <c r="L8" s="13" t="inlineStr">
        <is>
          <t>Fall abschließen</t>
        </is>
      </c>
    </row>
    <row r="9">
      <c r="A9" s="3" t="inlineStr">
        <is>
          <t>F-2026-007</t>
        </is>
      </c>
      <c r="B9" s="3">
        <f>IFERROR(VLOOKUP($A9,Mieterhöhungen!$A:$T,2,0),"Fall nicht gefunden")</f>
        <v/>
      </c>
      <c r="C9" s="20" t="inlineStr">
        <is>
          <t>Rheinblick Verwaltungs KG</t>
        </is>
      </c>
      <c r="D9" s="3">
        <f>IFERROR(VLOOKUP($A9,Mieterhöhungen!$A:$T,4,0),"Fall nicht gefunden")</f>
        <v/>
      </c>
      <c r="E9" s="9">
        <f>IFERROR(VLOOKUP($A9,Mieterhöhungen!$A:$T,10,0),"")</f>
        <v/>
      </c>
      <c r="F9" s="21" t="n">
        <v>46142</v>
      </c>
      <c r="G9" s="4" t="inlineStr">
        <is>
          <t>Kappungsgrenze überschritten, Widerspruch eingelegt</t>
        </is>
      </c>
      <c r="H9" s="3" t="inlineStr">
        <is>
          <t>§ 558 Abs. 3 BGB</t>
        </is>
      </c>
      <c r="I9" s="3" t="inlineStr">
        <is>
          <t>Einwurf-Einschreiben</t>
        </is>
      </c>
      <c r="J9" s="3">
        <f>IFERROR(IF(F9="","Noch offen",IF(F9&lt;=VLOOKUP($A9,Mieterhöhungen!$A:$T,12,0),"Fristgerecht","Zu spät")),"Fall nicht gefunden")</f>
        <v/>
      </c>
      <c r="K9" s="4" t="inlineStr">
        <is>
          <t>Widerspruch abgelehnt</t>
        </is>
      </c>
      <c r="L9" s="4" t="inlineStr">
        <is>
          <t>Rechtsberatung einholen</t>
        </is>
      </c>
    </row>
    <row r="10">
      <c r="A10" s="12" t="inlineStr">
        <is>
          <t>F-2026-008</t>
        </is>
      </c>
      <c r="B10" s="12">
        <f>IFERROR(VLOOKUP($A10,Mieterhöhungen!$A:$T,2,0),"Fall nicht gefunden")</f>
        <v/>
      </c>
      <c r="C10" s="20" t="inlineStr">
        <is>
          <t>Sachsenwohnen eG</t>
        </is>
      </c>
      <c r="D10" s="12">
        <f>IFERROR(VLOOKUP($A10,Mieterhöhungen!$A:$T,4,0),"Fall nicht gefunden")</f>
        <v/>
      </c>
      <c r="E10" s="17">
        <f>IFERROR(VLOOKUP($A10,Mieterhöhungen!$A:$T,10,0),"")</f>
        <v/>
      </c>
      <c r="F10" s="21" t="inlineStr"/>
      <c r="G10" s="13" t="inlineStr">
        <is>
          <t>Geringe Erhöhung, keine Einwände</t>
        </is>
      </c>
      <c r="H10" s="12" t="inlineStr">
        <is>
          <t>§ 558 BGB</t>
        </is>
      </c>
      <c r="I10" s="12" t="inlineStr">
        <is>
          <t>E-Mail</t>
        </is>
      </c>
      <c r="J10" s="12">
        <f>IFERROR(IF(F10="","Noch offen",IF(F10&lt;=VLOOKUP($A10,Mieterhöhungen!$A:$T,12,0),"Fristgerecht","Zu spät")),"Fall nicht gefunden")</f>
        <v/>
      </c>
      <c r="K10" s="13" t="inlineStr">
        <is>
          <t>Keine Rückmeldung</t>
        </is>
      </c>
      <c r="L10" s="13" t="inlineStr">
        <is>
          <t>Fall abschließen</t>
        </is>
      </c>
    </row>
    <row r="11">
      <c r="A11" s="3" t="inlineStr">
        <is>
          <t>F-2026-009</t>
        </is>
      </c>
      <c r="B11" s="3">
        <f>IFERROR(VLOOKUP($A11,Mieterhöhungen!$A:$T,2,0),"Fall nicht gefunden")</f>
        <v/>
      </c>
      <c r="C11" s="20" t="inlineStr">
        <is>
          <t>Elbresidenz Verwaltung</t>
        </is>
      </c>
      <c r="D11" s="3">
        <f>IFERROR(VLOOKUP($A11,Mieterhöhungen!$A:$T,4,0),"Fall nicht gefunden")</f>
        <v/>
      </c>
      <c r="E11" s="9">
        <f>IFERROR(VLOOKUP($A11,Mieterhöhungen!$A:$T,10,0),"")</f>
        <v/>
      </c>
      <c r="F11" s="21" t="n">
        <v>46106</v>
      </c>
      <c r="G11" s="4" t="inlineStr">
        <is>
          <t>Deutliche Überschreitung Kappungsgrenze</t>
        </is>
      </c>
      <c r="H11" s="3" t="inlineStr">
        <is>
          <t>§ 558 Abs. 3 BGB</t>
        </is>
      </c>
      <c r="I11" s="3" t="inlineStr">
        <is>
          <t>Einwurf-Einschreiben</t>
        </is>
      </c>
      <c r="J11" s="3">
        <f>IFERROR(IF(F11="","Noch offen",IF(F11&lt;=VLOOKUP($A11,Mieterhöhungen!$A:$T,12,0),"Fristgerecht","Zu spät")),"Fall nicht gefunden")</f>
        <v/>
      </c>
      <c r="K11" s="4" t="inlineStr">
        <is>
          <t>Rückmeldung ausstehend</t>
        </is>
      </c>
      <c r="L11" s="4" t="inlineStr">
        <is>
          <t>Frist im Blick behalten</t>
        </is>
      </c>
    </row>
    <row r="12">
      <c r="A12" s="12" t="inlineStr">
        <is>
          <t>F-2026-010</t>
        </is>
      </c>
      <c r="B12" s="12">
        <f>IFERROR(VLOOKUP($A12,Mieterhöhungen!$A:$T,2,0),"Fall nicht gefunden")</f>
        <v/>
      </c>
      <c r="C12" s="20" t="inlineStr">
        <is>
          <t>Niedersachsen Wohnbau</t>
        </is>
      </c>
      <c r="D12" s="12">
        <f>IFERROR(VLOOKUP($A12,Mieterhöhungen!$A:$T,4,0),"Fall nicht gefunden")</f>
        <v/>
      </c>
      <c r="E12" s="17">
        <f>IFERROR(VLOOKUP($A12,Mieterhöhungen!$A:$T,10,0),"")</f>
        <v/>
      </c>
      <c r="F12" s="21" t="inlineStr"/>
      <c r="G12" s="13" t="inlineStr">
        <is>
          <t>Fristablauf droht, Widerspruch vorbereiten</t>
        </is>
      </c>
      <c r="H12" s="12" t="inlineStr">
        <is>
          <t>§ 558 BGB</t>
        </is>
      </c>
      <c r="I12" s="12" t="inlineStr">
        <is>
          <t>Einwurf-Einschreiben</t>
        </is>
      </c>
      <c r="J12" s="12">
        <f>IFERROR(IF(F12="","Noch offen",IF(F12&lt;=VLOOKUP($A12,Mieterhöhungen!$A:$T,12,0),"Fristgerecht","Zu spät")),"Fall nicht gefunden")</f>
        <v/>
      </c>
      <c r="K12" s="13" t="inlineStr">
        <is>
          <t>Keine Rückmeldung</t>
        </is>
      </c>
      <c r="L12" s="13" t="inlineStr">
        <is>
          <t>Widerspruch fristgerecht versenden</t>
        </is>
      </c>
    </row>
  </sheetData>
  <mergeCells count="1">
    <mergeCell ref="A1:L1"/>
  </mergeCells>
  <conditionalFormatting sqref="J3:J12">
    <cfRule type="expression" priority="1" dxfId="0" stopIfTrue="1">
      <formula>$J3="Zu spät"</formula>
    </cfRule>
    <cfRule type="expression" priority="2" dxfId="1" stopIfTrue="1">
      <formula>$J3="Fristgerecht"</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40" customWidth="1" min="1" max="1"/>
    <col width="16" customWidth="1" min="2" max="2"/>
    <col width="16" customWidth="1" min="3" max="3"/>
  </cols>
  <sheetData>
    <row r="1">
      <c r="A1" s="18" t="inlineStr">
        <is>
          <t>Management-Auswertung Mieterhöhungen</t>
        </is>
      </c>
    </row>
    <row r="3">
      <c r="A3" s="22" t="inlineStr">
        <is>
          <t>Anzahl Fälle gesamt</t>
        </is>
      </c>
      <c r="B3" s="14">
        <f>COUNTA(Mieterhöhungen!A3:A12)</f>
        <v/>
      </c>
    </row>
    <row r="4">
      <c r="A4" s="22" t="inlineStr">
        <is>
          <t>Anzahl unzulässiger Mieterhöhungen</t>
        </is>
      </c>
      <c r="B4" s="14">
        <f>COUNTIF(Mieterhöhungen!P3:P12,"Unzulässig")</f>
        <v/>
      </c>
    </row>
    <row r="5">
      <c r="A5" s="22" t="inlineStr">
        <is>
          <t>Anzahl fristgerechter Widersprüche</t>
        </is>
      </c>
      <c r="B5" s="14">
        <f>COUNTIF(Widerspruchsschreiben!J3:J12,"Fristgerecht")</f>
        <v/>
      </c>
    </row>
    <row r="6">
      <c r="A6" s="22" t="inlineStr">
        <is>
          <t>Durchschnittliche Erhöhungsquote</t>
        </is>
      </c>
      <c r="B6" s="16">
        <f>AVERAGE(Mieterhöhungen!I3:I12)</f>
        <v/>
      </c>
    </row>
    <row r="7">
      <c r="A7" s="22" t="inlineStr">
        <is>
          <t>Durchschnittlicher Erhöhungsbetrag €</t>
        </is>
      </c>
      <c r="B7" s="15">
        <f>AVERAGE(Mieterhöhungen!H3:H12)</f>
        <v/>
      </c>
    </row>
    <row r="8">
      <c r="A8" s="22" t="inlineStr">
        <is>
          <t>Anteil Fälle mit Überschreitung Kappungsgrenze</t>
        </is>
      </c>
      <c r="B8" s="16">
        <f>IFERROR(SUMPRODUCT((Mieterhöhungen!I3:I12&gt;Mieterhöhungen!N3:N12)*1)/COUNTA(Mieterhöhungen!A3:A12),0)</f>
        <v/>
      </c>
    </row>
    <row r="10">
      <c r="A10" s="23" t="inlineStr">
        <is>
          <t>Fälle je Stadt</t>
        </is>
      </c>
      <c r="B10" s="23" t="inlineStr">
        <is>
          <t>Anzahl</t>
        </is>
      </c>
    </row>
    <row r="11">
      <c r="A11" s="24" t="inlineStr">
        <is>
          <t>Berlin</t>
        </is>
      </c>
      <c r="B11" s="25">
        <f>COUNTIF(Mieterhöhungen!C3:C12,"Berlin")</f>
        <v/>
      </c>
    </row>
    <row r="12">
      <c r="A12" s="26" t="inlineStr">
        <is>
          <t>München</t>
        </is>
      </c>
      <c r="B12" s="27">
        <f>COUNTIF(Mieterhöhungen!C3:C12,"München")</f>
        <v/>
      </c>
    </row>
    <row r="13">
      <c r="A13" s="24" t="inlineStr">
        <is>
          <t>Hamburg</t>
        </is>
      </c>
      <c r="B13" s="25">
        <f>COUNTIF(Mieterhöhungen!C3:C12,"Hamburg")</f>
        <v/>
      </c>
    </row>
    <row r="14">
      <c r="A14" s="26" t="inlineStr">
        <is>
          <t>Köln</t>
        </is>
      </c>
      <c r="B14" s="27">
        <f>COUNTIF(Mieterhöhungen!C3:C12,"Köln")</f>
        <v/>
      </c>
    </row>
    <row r="15">
      <c r="A15" s="24" t="inlineStr">
        <is>
          <t>Frankfurt</t>
        </is>
      </c>
      <c r="B15" s="25">
        <f>COUNTIF(Mieterhöhungen!C3:C12,"Frankfurt")</f>
        <v/>
      </c>
    </row>
    <row r="16">
      <c r="A16" s="26" t="inlineStr">
        <is>
          <t>Stuttgart</t>
        </is>
      </c>
      <c r="B16" s="27">
        <f>COUNTIF(Mieterhöhungen!C3:C12,"Stuttgart")</f>
        <v/>
      </c>
    </row>
    <row r="17">
      <c r="A17" s="24" t="inlineStr">
        <is>
          <t>Düsseldorf</t>
        </is>
      </c>
      <c r="B17" s="25">
        <f>COUNTIF(Mieterhöhungen!C3:C12,"Düsseldorf")</f>
        <v/>
      </c>
    </row>
    <row r="18">
      <c r="A18" s="26" t="inlineStr">
        <is>
          <t>Leipzig</t>
        </is>
      </c>
      <c r="B18" s="27">
        <f>COUNTIF(Mieterhöhungen!C3:C12,"Leipzig")</f>
        <v/>
      </c>
    </row>
    <row r="19">
      <c r="A19" s="24" t="inlineStr">
        <is>
          <t>Dresden</t>
        </is>
      </c>
      <c r="B19" s="25">
        <f>COUNTIF(Mieterhöhungen!C3:C12,"Dresden")</f>
        <v/>
      </c>
    </row>
    <row r="20">
      <c r="A20" s="26" t="inlineStr">
        <is>
          <t>Hannover</t>
        </is>
      </c>
      <c r="B20" s="27">
        <f>COUNTIF(Mieterhöhungen!C3:C12,"Hannover")</f>
        <v/>
      </c>
    </row>
    <row r="22">
      <c r="A22" s="23" t="inlineStr">
        <is>
          <t>Statusverteilung</t>
        </is>
      </c>
      <c r="B22" s="23" t="inlineStr">
        <is>
          <t>Anzahl</t>
        </is>
      </c>
    </row>
    <row r="23">
      <c r="A23" s="26" t="inlineStr">
        <is>
          <t>Zulässig</t>
        </is>
      </c>
      <c r="B23" s="27">
        <f>COUNTIF(Mieterhöhungen!P3:P12,"Zulässig")</f>
        <v/>
      </c>
    </row>
    <row r="24">
      <c r="A24" s="26" t="inlineStr">
        <is>
          <t>Prüfen</t>
        </is>
      </c>
      <c r="B24" s="27">
        <f>COUNTIF(Mieterhöhungen!P3:P12,"Prüfen")</f>
        <v/>
      </c>
    </row>
    <row r="25">
      <c r="A25" s="26" t="inlineStr">
        <is>
          <t>Unzulässig</t>
        </is>
      </c>
      <c r="B25" s="27">
        <f>COUNTIF(Mieterhöhungen!P3:P12,"Unzulässig")</f>
        <v/>
      </c>
    </row>
    <row r="27">
      <c r="A27" s="23" t="inlineStr">
        <is>
          <t>Fristenkontrolle je Fall</t>
        </is>
      </c>
      <c r="B27" s="23" t="inlineStr">
        <is>
          <t>Zugang</t>
        </is>
      </c>
      <c r="C27" s="23" t="inlineStr">
        <is>
          <t>Fristende</t>
        </is>
      </c>
    </row>
    <row r="28">
      <c r="A28" s="26">
        <f>Mieterhöhungen!A3</f>
        <v/>
      </c>
      <c r="B28" s="28">
        <f>Mieterhöhungen!K3</f>
        <v/>
      </c>
      <c r="C28" s="28">
        <f>Mieterhöhungen!L3</f>
        <v/>
      </c>
    </row>
    <row r="29">
      <c r="A29" s="26">
        <f>Mieterhöhungen!A4</f>
        <v/>
      </c>
      <c r="B29" s="28">
        <f>Mieterhöhungen!K4</f>
        <v/>
      </c>
      <c r="C29" s="28">
        <f>Mieterhöhungen!L4</f>
        <v/>
      </c>
    </row>
    <row r="30">
      <c r="A30" s="26">
        <f>Mieterhöhungen!A5</f>
        <v/>
      </c>
      <c r="B30" s="28">
        <f>Mieterhöhungen!K5</f>
        <v/>
      </c>
      <c r="C30" s="28">
        <f>Mieterhöhungen!L5</f>
        <v/>
      </c>
    </row>
    <row r="31">
      <c r="A31" s="26">
        <f>Mieterhöhungen!A6</f>
        <v/>
      </c>
      <c r="B31" s="28">
        <f>Mieterhöhungen!K6</f>
        <v/>
      </c>
      <c r="C31" s="28">
        <f>Mieterhöhungen!L6</f>
        <v/>
      </c>
    </row>
    <row r="32">
      <c r="A32" s="26">
        <f>Mieterhöhungen!A7</f>
        <v/>
      </c>
      <c r="B32" s="28">
        <f>Mieterhöhungen!K7</f>
        <v/>
      </c>
      <c r="C32" s="28">
        <f>Mieterhöhungen!L7</f>
        <v/>
      </c>
    </row>
    <row r="33">
      <c r="A33" s="26">
        <f>Mieterhöhungen!A8</f>
        <v/>
      </c>
      <c r="B33" s="28">
        <f>Mieterhöhungen!K8</f>
        <v/>
      </c>
      <c r="C33" s="28">
        <f>Mieterhöhungen!L8</f>
        <v/>
      </c>
    </row>
    <row r="34">
      <c r="A34" s="26">
        <f>Mieterhöhungen!A9</f>
        <v/>
      </c>
      <c r="B34" s="28">
        <f>Mieterhöhungen!K9</f>
        <v/>
      </c>
      <c r="C34" s="28">
        <f>Mieterhöhungen!L9</f>
        <v/>
      </c>
    </row>
    <row r="35">
      <c r="A35" s="26">
        <f>Mieterhöhungen!A10</f>
        <v/>
      </c>
      <c r="B35" s="28">
        <f>Mieterhöhungen!K10</f>
        <v/>
      </c>
      <c r="C35" s="28">
        <f>Mieterhöhungen!L10</f>
        <v/>
      </c>
    </row>
    <row r="36">
      <c r="A36" s="26">
        <f>Mieterhöhungen!A11</f>
        <v/>
      </c>
      <c r="B36" s="28">
        <f>Mieterhöhungen!K11</f>
        <v/>
      </c>
      <c r="C36" s="28">
        <f>Mieterhöhungen!L11</f>
        <v/>
      </c>
    </row>
    <row r="37">
      <c r="A37" s="26">
        <f>Mieterhöhungen!A12</f>
        <v/>
      </c>
      <c r="B37" s="28">
        <f>Mieterhöhungen!K12</f>
        <v/>
      </c>
      <c r="C37" s="28">
        <f>Mieterhöhungen!L12</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28" customWidth="1" min="1" max="1"/>
    <col width="95" customWidth="1" min="2" max="2"/>
  </cols>
  <sheetData>
    <row r="1">
      <c r="A1" s="18" t="inlineStr">
        <is>
          <t>Hinweise zur Nutzung dieser Arbeitshilfe</t>
        </is>
      </c>
    </row>
    <row r="3" ht="45" customHeight="1">
      <c r="A3" s="29" t="inlineStr">
        <is>
          <t>Zweck der Arbeitshilfe</t>
        </is>
      </c>
      <c r="B3" s="30" t="inlineStr">
        <is>
          <t>Diese Excel-Datei unterstützt die strukturierte Prüfung von Mieterhöhungen nach § 558 BGB und die Vorbereitung eines möglichen Widerspruchs. Sie ersetzt keine individuelle Rechtsberatung.</t>
        </is>
      </c>
    </row>
    <row r="4" ht="45" customHeight="1">
      <c r="A4" s="29" t="inlineStr">
        <is>
          <t>Blatt Mieterhöhungen</t>
        </is>
      </c>
      <c r="B4" s="30" t="inlineStr">
        <is>
          <t>Erfassung der Falldaten je Mieter: Kaltmiete alt/neu, Mietspiegelwert, Kappungsgrenze und automatische Berechnung der zulässigen Erhöhung sowie des Fristendes der Zustimmung.</t>
        </is>
      </c>
    </row>
    <row r="5" ht="45" customHeight="1">
      <c r="A5" s="29" t="inlineStr">
        <is>
          <t>Kappungsgrenze</t>
        </is>
      </c>
      <c r="B5" s="30" t="inlineStr">
        <is>
          <t>Die Kappungsgrenze begrenzt die Erhöhung der Kaltmiete innerhalb von drei Jahren auf i. d. R. 20 %, in angespannten Wohnungsmärkten auf 15 % (§ 558 Abs. 3 BGB).</t>
        </is>
      </c>
    </row>
    <row r="6" ht="45" customHeight="1">
      <c r="A6" s="29" t="inlineStr">
        <is>
          <t>Ortsübliche Vergleichsmiete / Mietspiegel</t>
        </is>
      </c>
      <c r="B6" s="30" t="inlineStr">
        <is>
          <t>Die neue Miete darf die ortsübliche Vergleichsmiete gemäß Mietspiegel grundsätzlich nicht übersteigen. Der hinterlegte Mietspiegelwert ist ein Richtwert und regelmäßig zu aktualisieren.</t>
        </is>
      </c>
    </row>
    <row r="7" ht="45" customHeight="1">
      <c r="A7" s="29" t="inlineStr">
        <is>
          <t>Zustimmungsfrist</t>
        </is>
      </c>
      <c r="B7" s="30" t="inlineStr">
        <is>
          <t>Der Mieter hat ab Zugang des Erhöhungsschreibens bis zum Ende des zweiten Kalendermonats zzgl. einer Überlegungsfrist Zeit, der Erhöhung zuzustimmen oder ihr zu widersprechen.</t>
        </is>
      </c>
    </row>
    <row r="8" ht="45" customHeight="1">
      <c r="A8" s="29" t="inlineStr">
        <is>
          <t>Blatt Widerspruchsschreiben</t>
        </is>
      </c>
      <c r="B8" s="30" t="inlineStr">
        <is>
          <t>Dokumentation der Widerspruchsgründe, Rechtsgrundlage, Versandart und Status je Fall. Die Verknüpfung zum Blatt Mieterhöhungen erfolgt automatisch über die Fall-ID.</t>
        </is>
      </c>
    </row>
    <row r="9" ht="45" customHeight="1">
      <c r="A9" s="29" t="inlineStr">
        <is>
          <t>Blatt Auswertung</t>
        </is>
      </c>
      <c r="B9" s="30" t="inlineStr">
        <is>
          <t>Verdichtete Kennzahlen und Diagramme zur schnellen Übersicht über alle Fälle, Städte und Fristen.</t>
        </is>
      </c>
    </row>
    <row r="10" ht="45" customHeight="1">
      <c r="A10" s="29" t="inlineStr">
        <is>
          <t>Formale Anforderungen</t>
        </is>
      </c>
      <c r="B10" s="30" t="inlineStr">
        <is>
          <t>Ein Mieterhöhungsschreiben muss schriftlich erfolgen, begründet sein (z. B. Mietspiegel, Vergleichswohnungen) und die gesetzlichen Fristen einhalten. Formfehler können die Erhöhung unwirksam machen.</t>
        </is>
      </c>
    </row>
    <row r="11" ht="45" customHeight="1">
      <c r="A11" s="29" t="inlineStr">
        <is>
          <t>Datenschutzhinweis (DSGVO)</t>
        </is>
      </c>
      <c r="B11" s="30" t="inlineStr">
        <is>
          <t>Die in dieser Datei enthaltenen Personendaten (Namen, Adressen) sind sensibel im Sinne der DSGVO. Die Datei ist vor unbefugtem Zugriff zu schützen und nur für den vorgesehenen Zweck zu verwenden. Nicht mehr benötigte Daten sind zu löschen.</t>
        </is>
      </c>
    </row>
    <row r="12" ht="45" customHeight="1">
      <c r="A12" s="29" t="inlineStr">
        <is>
          <t>Rechtlicher Hinweis</t>
        </is>
      </c>
      <c r="B12" s="30" t="inlineStr">
        <is>
          <t>Diese Arbeitshilfe dient der internen Organisation und ersetzt keine Rechtsberatung durch einen Rechtsanwalt oder Mieterverein. Im Streitfall wird die Konsultation einer fachkundigen Stelle empfohlen.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2026-07-14T01:39:38Z</dcterms:created>
  <dcterms:modified xmlns:dcterms="http://purl.org/dc/terms/" xmlns:xsi="http://www.w3.org/2001/XMLSchema-instance" xsi:type="dcterms:W3CDTF">2026-07-14T01:39:38Z</dcterms:modified>
</cp:coreProperties>
</file>