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lustmeldunge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.##0,00 &quot;€&quot;"/>
    <numFmt numFmtId="166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1E3A5F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7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EEF2F7"/>
        <bgColor rgb="00EEF2F7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2C4C73"/>
        <bgColor rgb="002C4C73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165" fontId="2" fillId="6" borderId="1" applyAlignment="1" pivotButton="0" quotePrefix="0" xfId="0">
      <alignment horizontal="center" vertical="center" wrapText="1"/>
    </xf>
    <xf numFmtId="166" fontId="2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1" fontId="4" fillId="3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.5"/>
      </font>
      <fill>
        <patternFill patternType="solid">
          <fgColor rgb="00FDE8E8"/>
          <bgColor rgb="00FDE8E8"/>
        </patternFill>
      </fill>
    </dxf>
    <dxf>
      <font>
        <name val="Calibri"/>
        <b val="1"/>
        <color rgb="0022C55E"/>
        <sz val="10.5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nach Schlüsselart</a:t>
            </a:r>
          </a:p>
        </rich>
      </tx>
    </title>
    <plotArea>
      <pieChart>
        <varyColors val="1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'Dashboard'!$A$13:$A$17</f>
            </numRef>
          </cat>
          <val>
            <numRef>
              <f>'Dashboard'!$B$13:$B$17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Gesamtkosten je Mieter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'Dashboard'!B20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prstDash val="solid"/>
            </a:ln>
          </spPr>
          <cat>
            <numRef>
              <f>'Dashboard'!$A$21:$A$28</f>
            </numRef>
          </cat>
          <val>
            <numRef>
              <f>'Dashboard'!$B$21:$B$28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13" customWidth="1" min="2" max="2"/>
    <col width="18" customWidth="1" min="3" max="3"/>
    <col width="24" customWidth="1" min="4" max="4"/>
    <col width="20" customWidth="1" min="5" max="5"/>
    <col width="13" customWidth="1" min="6" max="6"/>
    <col width="20" customWidth="1" min="7" max="7"/>
    <col width="14" customWidth="1" min="8" max="8"/>
    <col width="16" customWidth="1" min="9" max="9"/>
    <col width="15" customWidth="1" min="10" max="10"/>
    <col width="18" customWidth="1" min="11" max="11"/>
    <col width="16" customWidth="1" min="12" max="12"/>
    <col width="16" customWidth="1" min="13" max="13"/>
    <col width="18" customWidth="1" min="14" max="14"/>
    <col width="32" customWidth="1" min="15" max="15"/>
    <col width="3" customWidth="1" min="16" max="16"/>
    <col width="22" customWidth="1" min="17" max="17"/>
    <col width="16" customWidth="1" min="18" max="18"/>
    <col width="22" customWidth="1" min="19" max="19"/>
  </cols>
  <sheetData>
    <row r="1" ht="28" customHeight="1">
      <c r="A1" s="1" t="inlineStr">
        <is>
          <t>Verlustmeldung Schlüssel – Übersicht und Kostenerfassung</t>
        </is>
      </c>
    </row>
    <row r="2"/>
    <row r="3">
      <c r="A3" s="2" t="inlineStr">
        <is>
          <t>Nr.</t>
        </is>
      </c>
      <c r="B3" s="2" t="inlineStr">
        <is>
          <t>Meldedatum</t>
        </is>
      </c>
      <c r="C3" s="2" t="inlineStr">
        <is>
          <t>Mieter</t>
        </is>
      </c>
      <c r="D3" s="2" t="inlineStr">
        <is>
          <t>Wohnung/Objekt</t>
        </is>
      </c>
      <c r="E3" s="2" t="inlineStr">
        <is>
          <t>Schlüsselart</t>
        </is>
      </c>
      <c r="F3" s="2" t="inlineStr">
        <is>
          <t>Verlustdatum</t>
        </is>
      </c>
      <c r="G3" s="2" t="inlineStr">
        <is>
          <t>Schließanlage betroffen</t>
        </is>
      </c>
      <c r="H3" s="2" t="inlineStr">
        <is>
          <t>Anzahl Schlüssel</t>
        </is>
      </c>
      <c r="I3" s="2" t="inlineStr">
        <is>
          <t>Kosten pro Schlüssel</t>
        </is>
      </c>
      <c r="J3" s="2" t="inlineStr">
        <is>
          <t>Gesamtkosten</t>
        </is>
      </c>
      <c r="K3" s="2" t="inlineStr">
        <is>
          <t>Kosten Mieter belastet</t>
        </is>
      </c>
      <c r="L3" s="2" t="inlineStr">
        <is>
          <t>Belasteter Betrag</t>
        </is>
      </c>
      <c r="M3" s="2" t="inlineStr">
        <is>
          <t>Status</t>
        </is>
      </c>
      <c r="N3" s="2" t="inlineStr">
        <is>
          <t>Bearbeitungsdauer (Tage)</t>
        </is>
      </c>
      <c r="O3" s="2" t="inlineStr">
        <is>
          <t>Bemerkung</t>
        </is>
      </c>
      <c r="Q3" s="2" t="inlineStr">
        <is>
          <t>Schlüsselart</t>
        </is>
      </c>
      <c r="R3" s="2" t="inlineStr">
        <is>
          <t>Kosten pro Schlüssel</t>
        </is>
      </c>
      <c r="S3" s="2" t="inlineStr">
        <is>
          <t>Kosten Schließanlagentausch</t>
        </is>
      </c>
    </row>
    <row r="4">
      <c r="A4" s="3" t="n">
        <v>1</v>
      </c>
      <c r="B4" s="4" t="inlineStr">
        <is>
          <t>01.03.2026</t>
        </is>
      </c>
      <c r="C4" s="5" t="inlineStr">
        <is>
          <t>Thomas Müller</t>
        </is>
      </c>
      <c r="D4" s="5" t="inlineStr">
        <is>
          <t>Musterstraße 12, Berlin</t>
        </is>
      </c>
      <c r="E4" s="3" t="inlineStr">
        <is>
          <t>Wohnungsschlüssel</t>
        </is>
      </c>
      <c r="F4" s="4" t="inlineStr">
        <is>
          <t>27.02.2026</t>
        </is>
      </c>
      <c r="G4" s="6" t="inlineStr">
        <is>
          <t>Nein</t>
        </is>
      </c>
      <c r="H4" s="6" t="n">
        <v>1</v>
      </c>
      <c r="I4" s="7">
        <f>IFERROR(VLOOKUP(E4,$Q$4:$S$8,2,FALSE),0)</f>
        <v/>
      </c>
      <c r="J4" s="8">
        <f>IF(G4="Ja",IFERROR(VLOOKUP(E4,$Q$4:$S$8,3,FALSE),0),H4*I4)</f>
        <v/>
      </c>
      <c r="K4" s="6" t="inlineStr">
        <is>
          <t>Ja</t>
        </is>
      </c>
      <c r="L4" s="8">
        <f>IF(K4="Ja",J4,0)</f>
        <v/>
      </c>
      <c r="M4" s="6" t="inlineStr">
        <is>
          <t>Abgeschlossen</t>
        </is>
      </c>
      <c r="N4" s="9">
        <f>IFERROR(DATEDIF(F4,B4,"D"),0)</f>
        <v/>
      </c>
      <c r="O4" s="5" t="inlineStr">
        <is>
          <t>Schloss nicht getauscht, Einzelschlüssel nachbestellt</t>
        </is>
      </c>
      <c r="Q4" s="3" t="inlineStr">
        <is>
          <t>Wohnungsschlüssel</t>
        </is>
      </c>
      <c r="R4" s="7" t="n">
        <v>15</v>
      </c>
      <c r="S4" s="7" t="n">
        <v>850</v>
      </c>
    </row>
    <row r="5">
      <c r="A5" s="10" t="n">
        <v>2</v>
      </c>
      <c r="B5" s="11" t="inlineStr">
        <is>
          <t>05.03.2026</t>
        </is>
      </c>
      <c r="C5" s="12" t="inlineStr">
        <is>
          <t>Anna Schmidt</t>
        </is>
      </c>
      <c r="D5" s="12" t="inlineStr">
        <is>
          <t>Rosenweg 4, München</t>
        </is>
      </c>
      <c r="E5" s="10" t="inlineStr">
        <is>
          <t>Haustürschlüssel</t>
        </is>
      </c>
      <c r="F5" s="11" t="inlineStr">
        <is>
          <t>02.03.2026</t>
        </is>
      </c>
      <c r="G5" s="6" t="inlineStr">
        <is>
          <t>Ja</t>
        </is>
      </c>
      <c r="H5" s="6" t="n">
        <v>2</v>
      </c>
      <c r="I5" s="13">
        <f>IFERROR(VLOOKUP(E5,$Q$4:$S$8,2,FALSE),0)</f>
        <v/>
      </c>
      <c r="J5" s="14">
        <f>IF(G5="Ja",IFERROR(VLOOKUP(E5,$Q$4:$S$8,3,FALSE),0),H5*I5)</f>
        <v/>
      </c>
      <c r="K5" s="6" t="inlineStr">
        <is>
          <t>Ja</t>
        </is>
      </c>
      <c r="L5" s="14">
        <f>IF(K5="Ja",J5,0)</f>
        <v/>
      </c>
      <c r="M5" s="6" t="inlineStr">
        <is>
          <t>In Bearbeitung</t>
        </is>
      </c>
      <c r="N5" s="15">
        <f>IFERROR(DATEDIF(F5,B5,"D"),0)</f>
        <v/>
      </c>
      <c r="O5" s="12" t="inlineStr">
        <is>
          <t>Schließanlage muss komplett getauscht werden</t>
        </is>
      </c>
      <c r="Q5" s="10" t="inlineStr">
        <is>
          <t>Haustürschlüssel</t>
        </is>
      </c>
      <c r="R5" s="13" t="n">
        <v>20</v>
      </c>
      <c r="S5" s="13" t="n">
        <v>1200</v>
      </c>
    </row>
    <row r="6">
      <c r="A6" s="3" t="n">
        <v>3</v>
      </c>
      <c r="B6" s="4" t="inlineStr">
        <is>
          <t>10.03.2026</t>
        </is>
      </c>
      <c r="C6" s="5" t="inlineStr">
        <is>
          <t>Michael Weber</t>
        </is>
      </c>
      <c r="D6" s="5" t="inlineStr">
        <is>
          <t>Lindenallee 8, Hamburg</t>
        </is>
      </c>
      <c r="E6" s="3" t="inlineStr">
        <is>
          <t>Briefkastenschlüssel</t>
        </is>
      </c>
      <c r="F6" s="4" t="inlineStr">
        <is>
          <t>09.03.2026</t>
        </is>
      </c>
      <c r="G6" s="6" t="inlineStr">
        <is>
          <t>Nein</t>
        </is>
      </c>
      <c r="H6" s="6" t="n">
        <v>1</v>
      </c>
      <c r="I6" s="7">
        <f>IFERROR(VLOOKUP(E6,$Q$4:$S$8,2,FALSE),0)</f>
        <v/>
      </c>
      <c r="J6" s="8">
        <f>IF(G6="Ja",IFERROR(VLOOKUP(E6,$Q$4:$S$8,3,FALSE),0),H6*I6)</f>
        <v/>
      </c>
      <c r="K6" s="6" t="inlineStr">
        <is>
          <t>Nein</t>
        </is>
      </c>
      <c r="L6" s="8">
        <f>IF(K6="Ja",J6,0)</f>
        <v/>
      </c>
      <c r="M6" s="6" t="inlineStr">
        <is>
          <t>Abgeschlossen</t>
        </is>
      </c>
      <c r="N6" s="9">
        <f>IFERROR(DATEDIF(F6,B6,"D"),0)</f>
        <v/>
      </c>
      <c r="O6" s="5" t="inlineStr">
        <is>
          <t>Vermieter übernimmt Kosten aus Kulanz</t>
        </is>
      </c>
      <c r="Q6" s="3" t="inlineStr">
        <is>
          <t>Briefkastenschlüssel</t>
        </is>
      </c>
      <c r="R6" s="7" t="n">
        <v>8</v>
      </c>
      <c r="S6" s="7" t="n">
        <v>150</v>
      </c>
    </row>
    <row r="7">
      <c r="A7" s="10" t="n">
        <v>4</v>
      </c>
      <c r="B7" s="11" t="inlineStr">
        <is>
          <t>14.03.2026</t>
        </is>
      </c>
      <c r="C7" s="12" t="inlineStr">
        <is>
          <t>Julia Wagner</t>
        </is>
      </c>
      <c r="D7" s="12" t="inlineStr">
        <is>
          <t>Bahnhofstraße 21, Köln</t>
        </is>
      </c>
      <c r="E7" s="10" t="inlineStr">
        <is>
          <t>Kellerschlüssel</t>
        </is>
      </c>
      <c r="F7" s="11" t="inlineStr">
        <is>
          <t>12.03.2026</t>
        </is>
      </c>
      <c r="G7" s="6" t="inlineStr">
        <is>
          <t>Nein</t>
        </is>
      </c>
      <c r="H7" s="6" t="n">
        <v>1</v>
      </c>
      <c r="I7" s="13">
        <f>IFERROR(VLOOKUP(E7,$Q$4:$S$8,2,FALSE),0)</f>
        <v/>
      </c>
      <c r="J7" s="14">
        <f>IF(G7="Ja",IFERROR(VLOOKUP(E7,$Q$4:$S$8,3,FALSE),0),H7*I7)</f>
        <v/>
      </c>
      <c r="K7" s="6" t="inlineStr">
        <is>
          <t>Ja</t>
        </is>
      </c>
      <c r="L7" s="14">
        <f>IF(K7="Ja",J7,0)</f>
        <v/>
      </c>
      <c r="M7" s="6" t="inlineStr">
        <is>
          <t>Abgeschlossen</t>
        </is>
      </c>
      <c r="N7" s="15">
        <f>IFERROR(DATEDIF(F7,B7,"D"),0)</f>
        <v/>
      </c>
      <c r="O7" s="12" t="inlineStr">
        <is>
          <t>Nachschlüssel ausgehändigt</t>
        </is>
      </c>
      <c r="Q7" s="10" t="inlineStr">
        <is>
          <t>Kellerschlüssel</t>
        </is>
      </c>
      <c r="R7" s="13" t="n">
        <v>12</v>
      </c>
      <c r="S7" s="13" t="n">
        <v>400</v>
      </c>
    </row>
    <row r="8">
      <c r="A8" s="3" t="n">
        <v>5</v>
      </c>
      <c r="B8" s="4" t="inlineStr">
        <is>
          <t>18.03.2026</t>
        </is>
      </c>
      <c r="C8" s="5" t="inlineStr">
        <is>
          <t>Stefan Becker</t>
        </is>
      </c>
      <c r="D8" s="5" t="inlineStr">
        <is>
          <t>Gartenstraße 3, Frankfurt</t>
        </is>
      </c>
      <c r="E8" s="3" t="inlineStr">
        <is>
          <t>Generalschlüssel</t>
        </is>
      </c>
      <c r="F8" s="4" t="inlineStr">
        <is>
          <t>15.03.2026</t>
        </is>
      </c>
      <c r="G8" s="6" t="inlineStr">
        <is>
          <t>Ja</t>
        </is>
      </c>
      <c r="H8" s="6" t="n">
        <v>1</v>
      </c>
      <c r="I8" s="7">
        <f>IFERROR(VLOOKUP(E8,$Q$4:$S$8,2,FALSE),0)</f>
        <v/>
      </c>
      <c r="J8" s="8">
        <f>IF(G8="Ja",IFERROR(VLOOKUP(E8,$Q$4:$S$8,3,FALSE),0),H8*I8)</f>
        <v/>
      </c>
      <c r="K8" s="6" t="inlineStr">
        <is>
          <t>Ja</t>
        </is>
      </c>
      <c r="L8" s="8">
        <f>IF(K8="Ja",J8,0)</f>
        <v/>
      </c>
      <c r="M8" s="6" t="inlineStr">
        <is>
          <t>Gemeldet</t>
        </is>
      </c>
      <c r="N8" s="9">
        <f>IFERROR(DATEDIF(F8,B8,"D"),0)</f>
        <v/>
      </c>
      <c r="O8" s="5" t="inlineStr">
        <is>
          <t>Sicherheitsrisiko, dringende Prüfung nötig</t>
        </is>
      </c>
      <c r="Q8" s="3" t="inlineStr">
        <is>
          <t>Generalschlüssel</t>
        </is>
      </c>
      <c r="R8" s="7" t="n">
        <v>35</v>
      </c>
      <c r="S8" s="7" t="n">
        <v>2500</v>
      </c>
    </row>
    <row r="9">
      <c r="A9" s="10" t="n">
        <v>6</v>
      </c>
      <c r="B9" s="11" t="inlineStr">
        <is>
          <t>22.03.2026</t>
        </is>
      </c>
      <c r="C9" s="12" t="inlineStr">
        <is>
          <t>Sabine Fischer</t>
        </is>
      </c>
      <c r="D9" s="12" t="inlineStr">
        <is>
          <t>Hauptstraße 9, Stuttgart</t>
        </is>
      </c>
      <c r="E9" s="10" t="inlineStr">
        <is>
          <t>Wohnungsschlüssel</t>
        </is>
      </c>
      <c r="F9" s="11" t="inlineStr">
        <is>
          <t>20.03.2026</t>
        </is>
      </c>
      <c r="G9" s="6" t="inlineStr">
        <is>
          <t>Nein</t>
        </is>
      </c>
      <c r="H9" s="6" t="n">
        <v>2</v>
      </c>
      <c r="I9" s="13">
        <f>IFERROR(VLOOKUP(E9,$Q$4:$S$8,2,FALSE),0)</f>
        <v/>
      </c>
      <c r="J9" s="14">
        <f>IF(G9="Ja",IFERROR(VLOOKUP(E9,$Q$4:$S$8,3,FALSE),0),H9*I9)</f>
        <v/>
      </c>
      <c r="K9" s="6" t="inlineStr">
        <is>
          <t>Ja</t>
        </is>
      </c>
      <c r="L9" s="14">
        <f>IF(K9="Ja",J9,0)</f>
        <v/>
      </c>
      <c r="M9" s="6" t="inlineStr">
        <is>
          <t>Abgeschlossen</t>
        </is>
      </c>
      <c r="N9" s="15">
        <f>IFERROR(DATEDIF(F9,B9,"D"),0)</f>
        <v/>
      </c>
      <c r="O9" s="12" t="inlineStr">
        <is>
          <t>Zwei Schlüssel gleichzeitig verloren</t>
        </is>
      </c>
    </row>
    <row r="10">
      <c r="A10" s="3" t="n">
        <v>7</v>
      </c>
      <c r="B10" s="4" t="inlineStr">
        <is>
          <t>27.03.2026</t>
        </is>
      </c>
      <c r="C10" s="5" t="inlineStr">
        <is>
          <t>Andreas Hoffmann</t>
        </is>
      </c>
      <c r="D10" s="5" t="inlineStr">
        <is>
          <t>Kirchweg 15, Düsseldorf</t>
        </is>
      </c>
      <c r="E10" s="3" t="inlineStr">
        <is>
          <t>Haustürschlüssel</t>
        </is>
      </c>
      <c r="F10" s="4" t="inlineStr">
        <is>
          <t>25.03.2026</t>
        </is>
      </c>
      <c r="G10" s="6" t="inlineStr">
        <is>
          <t>Nein</t>
        </is>
      </c>
      <c r="H10" s="6" t="n">
        <v>1</v>
      </c>
      <c r="I10" s="7">
        <f>IFERROR(VLOOKUP(E10,$Q$4:$S$8,2,FALSE),0)</f>
        <v/>
      </c>
      <c r="J10" s="8">
        <f>IF(G10="Ja",IFERROR(VLOOKUP(E10,$Q$4:$S$8,3,FALSE),0),H10*I10)</f>
        <v/>
      </c>
      <c r="K10" s="6" t="inlineStr">
        <is>
          <t>Nein</t>
        </is>
      </c>
      <c r="L10" s="8">
        <f>IF(K10="Ja",J10,0)</f>
        <v/>
      </c>
      <c r="M10" s="6" t="inlineStr">
        <is>
          <t>In Bearbeitung</t>
        </is>
      </c>
      <c r="N10" s="9">
        <f>IFERROR(DATEDIF(F10,B10,"D"),0)</f>
        <v/>
      </c>
      <c r="O10" s="5" t="inlineStr">
        <is>
          <t>Fund noch möglich, Frist gesetzt</t>
        </is>
      </c>
    </row>
    <row r="11">
      <c r="A11" s="10" t="n">
        <v>8</v>
      </c>
      <c r="B11" s="11" t="inlineStr">
        <is>
          <t>02.04.2026</t>
        </is>
      </c>
      <c r="C11" s="12" t="inlineStr">
        <is>
          <t>Katrin Schulz</t>
        </is>
      </c>
      <c r="D11" s="12" t="inlineStr">
        <is>
          <t>Wiesenweg 6, Leipzig</t>
        </is>
      </c>
      <c r="E11" s="10" t="inlineStr">
        <is>
          <t>Briefkastenschlüssel</t>
        </is>
      </c>
      <c r="F11" s="11" t="inlineStr">
        <is>
          <t>01.04.2026</t>
        </is>
      </c>
      <c r="G11" s="6" t="inlineStr">
        <is>
          <t>Nein</t>
        </is>
      </c>
      <c r="H11" s="6" t="n">
        <v>1</v>
      </c>
      <c r="I11" s="13">
        <f>IFERROR(VLOOKUP(E11,$Q$4:$S$8,2,FALSE),0)</f>
        <v/>
      </c>
      <c r="J11" s="14">
        <f>IF(G11="Ja",IFERROR(VLOOKUP(E11,$Q$4:$S$8,3,FALSE),0),H11*I11)</f>
        <v/>
      </c>
      <c r="K11" s="6" t="inlineStr">
        <is>
          <t>Ja</t>
        </is>
      </c>
      <c r="L11" s="14">
        <f>IF(K11="Ja",J11,0)</f>
        <v/>
      </c>
      <c r="M11" s="6" t="inlineStr">
        <is>
          <t>Abgeschlossen</t>
        </is>
      </c>
      <c r="N11" s="15">
        <f>IFERROR(DATEDIF(F11,B11,"D"),0)</f>
        <v/>
      </c>
      <c r="O11" s="12" t="inlineStr">
        <is>
          <t>Ersatzschlüssel bestellt</t>
        </is>
      </c>
    </row>
    <row r="12">
      <c r="A12" s="3" t="n">
        <v>9</v>
      </c>
      <c r="B12" s="4" t="inlineStr">
        <is>
          <t>08.04.2026</t>
        </is>
      </c>
      <c r="C12" s="5" t="inlineStr">
        <is>
          <t>Thomas Müller</t>
        </is>
      </c>
      <c r="D12" s="5" t="inlineStr">
        <is>
          <t>Musterstraße 12, Berlin</t>
        </is>
      </c>
      <c r="E12" s="3" t="inlineStr">
        <is>
          <t>Kellerschlüssel</t>
        </is>
      </c>
      <c r="F12" s="4" t="inlineStr">
        <is>
          <t>06.04.2026</t>
        </is>
      </c>
      <c r="G12" s="6" t="inlineStr">
        <is>
          <t>Nein</t>
        </is>
      </c>
      <c r="H12" s="6" t="n">
        <v>1</v>
      </c>
      <c r="I12" s="7">
        <f>IFERROR(VLOOKUP(E12,$Q$4:$S$8,2,FALSE),0)</f>
        <v/>
      </c>
      <c r="J12" s="8">
        <f>IF(G12="Ja",IFERROR(VLOOKUP(E12,$Q$4:$S$8,3,FALSE),0),H12*I12)</f>
        <v/>
      </c>
      <c r="K12" s="6" t="inlineStr">
        <is>
          <t>Ja</t>
        </is>
      </c>
      <c r="L12" s="8">
        <f>IF(K12="Ja",J12,0)</f>
        <v/>
      </c>
      <c r="M12" s="6" t="inlineStr">
        <is>
          <t>Gemeldet</t>
        </is>
      </c>
      <c r="N12" s="9">
        <f>IFERROR(DATEDIF(F12,B12,"D"),0)</f>
        <v/>
      </c>
      <c r="O12" s="5" t="inlineStr">
        <is>
          <t>Zweiter Vorfall desselben Mieters</t>
        </is>
      </c>
    </row>
    <row r="13">
      <c r="A13" s="16" t="inlineStr"/>
      <c r="B13" s="16" t="inlineStr"/>
      <c r="C13" s="16" t="inlineStr">
        <is>
          <t>Gesamt / Durchschnitt</t>
        </is>
      </c>
      <c r="D13" s="16" t="inlineStr"/>
      <c r="E13" s="16" t="inlineStr"/>
      <c r="F13" s="16" t="inlineStr"/>
      <c r="G13" s="16" t="inlineStr"/>
      <c r="H13" s="16">
        <f>SUM(H4:H12)</f>
        <v/>
      </c>
      <c r="I13" s="16" t="inlineStr"/>
      <c r="J13" s="17">
        <f>SUM(J4:J12)</f>
        <v/>
      </c>
      <c r="K13" s="16" t="inlineStr"/>
      <c r="L13" s="17">
        <f>SUM(L4:L12)</f>
        <v/>
      </c>
      <c r="M13" s="16" t="inlineStr"/>
      <c r="N13" s="18">
        <f>AVERAGE(N4:N12)</f>
        <v/>
      </c>
      <c r="O13" s="16" t="inlineStr"/>
    </row>
  </sheetData>
  <mergeCells count="1">
    <mergeCell ref="A1:O1"/>
  </mergeCells>
  <conditionalFormatting sqref="G4:G12">
    <cfRule type="expression" priority="1" dxfId="0" stopIfTrue="1">
      <formula>G4="Ja"</formula>
    </cfRule>
  </conditionalFormatting>
  <conditionalFormatting sqref="M4:M12">
    <cfRule type="expression" priority="2" dxfId="1" stopIfTrue="1">
      <formula>M4="Abgeschlossen"</formula>
    </cfRule>
  </conditionalFormatting>
  <conditionalFormatting sqref="J4:J12">
    <cfRule type="cellIs" priority="3" operator="greaterThan" dxfId="0">
      <formula>1000</formula>
    </cfRule>
  </conditionalFormatting>
  <dataValidations count="4">
    <dataValidation sqref="G4:G12" showErrorMessage="1" showInputMessage="1" allowBlank="1" type="list">
      <formula1>"Ja,Nein"</formula1>
    </dataValidation>
    <dataValidation sqref="K4:K12" showErrorMessage="1" showInputMessage="1" allowBlank="1" type="list">
      <formula1>"Ja,Nein"</formula1>
    </dataValidation>
    <dataValidation sqref="M4:M12" showErrorMessage="1" showInputMessage="1" allowBlank="1" type="list">
      <formula1>"Gemeldet,In Bearbeitung,Abgeschlossen"</formula1>
    </dataValidation>
    <dataValidation sqref="E4:E12" showErrorMessage="1" showInputMessage="1" allowBlank="1" type="list">
      <formula1>"Wohnungsschlüssel,Haustürschlüssel,Briefkastenschlüssel,Kellerschlüssel,Generalschlüssel"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9" t="inlineStr">
        <is>
          <t>Dashboard – Verlustmeldungen Schlüssel</t>
        </is>
      </c>
    </row>
    <row r="2"/>
    <row r="3">
      <c r="A3" s="2" t="inlineStr">
        <is>
          <t>Kennzahl</t>
        </is>
      </c>
      <c r="B3" s="2" t="inlineStr">
        <is>
          <t>Wert</t>
        </is>
      </c>
    </row>
    <row r="4">
      <c r="A4" s="5" t="inlineStr">
        <is>
          <t>Anzahl Meldungen</t>
        </is>
      </c>
      <c r="B4" s="20">
        <f>COUNTA(Verlustmeldungen!C4:C12)</f>
        <v/>
      </c>
    </row>
    <row r="5">
      <c r="A5" s="12" t="inlineStr">
        <is>
          <t>Anzahl Schließanlagen betroffen</t>
        </is>
      </c>
      <c r="B5" s="21">
        <f>COUNTIF(Verlustmeldungen!G4:G12,"Ja")</f>
        <v/>
      </c>
    </row>
    <row r="6">
      <c r="A6" s="5" t="inlineStr">
        <is>
          <t>Gesamtkosten (€)</t>
        </is>
      </c>
      <c r="B6" s="8">
        <f>SUM(Verlustmeldungen!J4:J12)</f>
        <v/>
      </c>
    </row>
    <row r="7">
      <c r="A7" s="12" t="inlineStr">
        <is>
          <t>Kosten Mieter belastet (€)</t>
        </is>
      </c>
      <c r="B7" s="14">
        <f>SUM(Verlustmeldungen!L4:L12)</f>
        <v/>
      </c>
    </row>
    <row r="8">
      <c r="A8" s="5" t="inlineStr">
        <is>
          <t>Kosten Vermieter (€)</t>
        </is>
      </c>
      <c r="B8" s="8">
        <f>SUM(Verlustmeldungen!J4:J12)-SUM(Verlustmeldungen!L4:L12)</f>
        <v/>
      </c>
    </row>
    <row r="9">
      <c r="A9" s="12" t="inlineStr">
        <is>
          <t>Ø Bearbeitungsdauer (Tage)</t>
        </is>
      </c>
      <c r="B9" s="21">
        <f>AVERAGE(Verlustmeldungen!N4:N12)</f>
        <v/>
      </c>
    </row>
    <row r="10"/>
    <row r="11"/>
    <row r="12">
      <c r="A12" s="16" t="inlineStr">
        <is>
          <t>Schlüsselart</t>
        </is>
      </c>
      <c r="B12" s="16" t="inlineStr">
        <is>
          <t>Anzahl Meldungen</t>
        </is>
      </c>
    </row>
    <row r="13">
      <c r="A13" s="5" t="inlineStr">
        <is>
          <t>Wohnungsschlüssel</t>
        </is>
      </c>
      <c r="B13" s="22">
        <f>COUNTIF(Verlustmeldungen!$E$4:$E$12,A13)</f>
        <v/>
      </c>
    </row>
    <row r="14">
      <c r="A14" s="12" t="inlineStr">
        <is>
          <t>Haustürschlüssel</t>
        </is>
      </c>
      <c r="B14" s="23">
        <f>COUNTIF(Verlustmeldungen!$E$4:$E$12,A14)</f>
        <v/>
      </c>
    </row>
    <row r="15">
      <c r="A15" s="5" t="inlineStr">
        <is>
          <t>Briefkastenschlüssel</t>
        </is>
      </c>
      <c r="B15" s="22">
        <f>COUNTIF(Verlustmeldungen!$E$4:$E$12,A15)</f>
        <v/>
      </c>
    </row>
    <row r="16">
      <c r="A16" s="12" t="inlineStr">
        <is>
          <t>Kellerschlüssel</t>
        </is>
      </c>
      <c r="B16" s="23">
        <f>COUNTIF(Verlustmeldungen!$E$4:$E$12,A16)</f>
        <v/>
      </c>
    </row>
    <row r="17">
      <c r="A17" s="5" t="inlineStr">
        <is>
          <t>Generalschlüssel</t>
        </is>
      </c>
      <c r="B17" s="22">
        <f>COUNTIF(Verlustmeldungen!$E$4:$E$12,A17)</f>
        <v/>
      </c>
    </row>
    <row r="18"/>
    <row r="19"/>
    <row r="20">
      <c r="A20" s="16" t="inlineStr">
        <is>
          <t>Mieter</t>
        </is>
      </c>
      <c r="B20" s="16" t="inlineStr">
        <is>
          <t>Gesamtkosten (€)</t>
        </is>
      </c>
    </row>
    <row r="21">
      <c r="A21" s="5" t="inlineStr">
        <is>
          <t>Thomas Müller</t>
        </is>
      </c>
      <c r="B21" s="8">
        <f>SUMIF(Verlustmeldungen!$C$4:$C$12,A21,Verlustmeldungen!$J$4:$J$12)</f>
        <v/>
      </c>
    </row>
    <row r="22">
      <c r="A22" s="12" t="inlineStr">
        <is>
          <t>Anna Schmidt</t>
        </is>
      </c>
      <c r="B22" s="14">
        <f>SUMIF(Verlustmeldungen!$C$4:$C$12,A22,Verlustmeldungen!$J$4:$J$12)</f>
        <v/>
      </c>
    </row>
    <row r="23">
      <c r="A23" s="5" t="inlineStr">
        <is>
          <t>Michael Weber</t>
        </is>
      </c>
      <c r="B23" s="8">
        <f>SUMIF(Verlustmeldungen!$C$4:$C$12,A23,Verlustmeldungen!$J$4:$J$12)</f>
        <v/>
      </c>
    </row>
    <row r="24">
      <c r="A24" s="12" t="inlineStr">
        <is>
          <t>Julia Wagner</t>
        </is>
      </c>
      <c r="B24" s="14">
        <f>SUMIF(Verlustmeldungen!$C$4:$C$12,A24,Verlustmeldungen!$J$4:$J$12)</f>
        <v/>
      </c>
    </row>
    <row r="25">
      <c r="A25" s="5" t="inlineStr">
        <is>
          <t>Stefan Becker</t>
        </is>
      </c>
      <c r="B25" s="8">
        <f>SUMIF(Verlustmeldungen!$C$4:$C$12,A25,Verlustmeldungen!$J$4:$J$12)</f>
        <v/>
      </c>
    </row>
    <row r="26">
      <c r="A26" s="12" t="inlineStr">
        <is>
          <t>Sabine Fischer</t>
        </is>
      </c>
      <c r="B26" s="14">
        <f>SUMIF(Verlustmeldungen!$C$4:$C$12,A26,Verlustmeldungen!$J$4:$J$12)</f>
        <v/>
      </c>
    </row>
    <row r="27">
      <c r="A27" s="5" t="inlineStr">
        <is>
          <t>Andreas Hoffmann</t>
        </is>
      </c>
      <c r="B27" s="8">
        <f>SUMIF(Verlustmeldungen!$C$4:$C$12,A27,Verlustmeldungen!$J$4:$J$12)</f>
        <v/>
      </c>
    </row>
    <row r="28">
      <c r="A28" s="12" t="inlineStr">
        <is>
          <t>Katrin Schulz</t>
        </is>
      </c>
      <c r="B28" s="14">
        <f>SUMIF(Verlustmeldungen!$C$4:$C$12,A28,Verlustmeldungen!$J$4:$J$12)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8" customHeight="1">
      <c r="A1" s="19" t="inlineStr">
        <is>
          <t>Hinweise zur Nutzung der Arbeitsmappe</t>
        </is>
      </c>
    </row>
    <row r="2"/>
    <row r="3">
      <c r="A3" s="2" t="inlineStr">
        <is>
          <t>Bereich</t>
        </is>
      </c>
      <c r="B3" s="2" t="inlineStr">
        <is>
          <t>Erläuterung</t>
        </is>
      </c>
    </row>
    <row r="4" ht="32" customHeight="1">
      <c r="A4" s="24" t="inlineStr">
        <is>
          <t>Verlustmeldungen</t>
        </is>
      </c>
      <c r="B4" s="5" t="inlineStr">
        <is>
          <t>Zentrale Erfassung aller gemeldeten Schlüsselverluste mit Mieter, Objekt, Schlüsselart, Datum und Kosten.</t>
        </is>
      </c>
    </row>
    <row r="5" ht="32" customHeight="1">
      <c r="A5" s="25" t="inlineStr">
        <is>
          <t>Schlüsselart</t>
        </is>
      </c>
      <c r="B5" s="12" t="inlineStr">
        <is>
          <t>Auswahl per Dropdown. Bestimmt automatisch die Kosten pro Schlüssel und die Kosten bei Schließanlagentausch (siehe Tabelle Spalte Q-S).</t>
        </is>
      </c>
    </row>
    <row r="6" ht="32" customHeight="1">
      <c r="A6" s="24" t="inlineStr">
        <is>
          <t>Schließanlage betroffen</t>
        </is>
      </c>
      <c r="B6" s="5" t="inlineStr">
        <is>
          <t>Bei 'Ja' wird die feste Pauschale für den Austausch der gesamten Schließanlage berechnet, statt der Kosten je Einzelschlüssel.</t>
        </is>
      </c>
    </row>
    <row r="7" ht="32" customHeight="1">
      <c r="A7" s="25" t="inlineStr">
        <is>
          <t>Kosten Mieter belastet</t>
        </is>
      </c>
      <c r="B7" s="12" t="inlineStr">
        <is>
          <t>Legt fest, ob die Gesamtkosten dem Mieter in Rechnung gestellt werden (z.B. bei Kaution) oder vom Vermieter getragen werden.</t>
        </is>
      </c>
    </row>
    <row r="8" ht="32" customHeight="1">
      <c r="A8" s="24" t="inlineStr">
        <is>
          <t>Gesamtkosten / Belasteter Betrag</t>
        </is>
      </c>
      <c r="B8" s="5" t="inlineStr">
        <is>
          <t>Werden automatisch per Formel berechnet (VLOOKUP + IF). Bitte nicht manuell überschreiben.</t>
        </is>
      </c>
    </row>
    <row r="9" ht="32" customHeight="1">
      <c r="A9" s="25" t="inlineStr">
        <is>
          <t>Bearbeitungsdauer</t>
        </is>
      </c>
      <c r="B9" s="12" t="inlineStr">
        <is>
          <t>Berechnet die Tage zwischen Verlustdatum und Meldedatum mittels DATEDIF zur Kontrolle der Reaktionszeit.</t>
        </is>
      </c>
    </row>
    <row r="10" ht="32" customHeight="1">
      <c r="A10" s="24" t="inlineStr">
        <is>
          <t>Status</t>
        </is>
      </c>
      <c r="B10" s="5" t="inlineStr">
        <is>
          <t>Dropdown mit den Werten Gemeldet, In Bearbeitung, Abgeschlossen. Grün markiert bei Abschluss.</t>
        </is>
      </c>
    </row>
    <row r="11" ht="32" customHeight="1">
      <c r="A11" s="25" t="inlineStr">
        <is>
          <t>Dashboard</t>
        </is>
      </c>
      <c r="B11" s="12" t="inlineStr">
        <is>
          <t>Zeigt Kennzahlen, Verteilung nach Schlüsselart (Kreisdiagramm) und Kosten je Mieter (Balkendiagramm).</t>
        </is>
      </c>
    </row>
    <row r="12" ht="32" customHeight="1">
      <c r="A12" s="24" t="inlineStr">
        <is>
          <t>Bearbeitungshinweis</t>
        </is>
      </c>
      <c r="B12" s="5" t="inlineStr">
        <is>
          <t>Bei Verlust eines Generalschlüssels oder einer zentralen Schließanlage sollte umgehend eine Sicherheitsprüfung veranlasst werden.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2026-07-21T17:04:11Z</dcterms:created>
  <dcterms:modified xmlns:dcterms="http://purl.org/dc/terms/" xmlns:xsi="http://www.w3.org/2001/XMLSchema-instance" xsi:type="dcterms:W3CDTF">2026-07-21T17:04:11Z</dcterms:modified>
</cp:coreProperties>
</file>