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rtminderungsfälle" sheetId="1" state="visible" r:id="rId1"/>
    <sheet xmlns:r="http://schemas.openxmlformats.org/officeDocument/2006/relationships" name="Auswertung" sheetId="2" state="visible" r:id="rId2"/>
    <sheet xmlns:r="http://schemas.openxmlformats.org/officeDocument/2006/relationships" name="Briefvorlage" sheetId="3" state="visible" r:id="rId3"/>
    <sheet xmlns:r="http://schemas.openxmlformats.org/officeDocument/2006/relationships" name="Hinweise" sheetId="4" state="visible" r:id="rId4"/>
  </sheets>
  <definedNames>
    <definedName name="_xlnm._FilterDatabase" localSheetId="0" hidden="1">'Wertminderungsfälle'!$A$3:$S$13</definedName>
  </definedNames>
  <calcPr calcId="124519" fullCalcOnLoad="1"/>
</workbook>
</file>

<file path=xl/styles.xml><?xml version="1.0" encoding="utf-8"?>
<styleSheet xmlns="http://schemas.openxmlformats.org/spreadsheetml/2006/main">
  <numFmts count="3">
    <numFmt numFmtId="164" formatCode="DD.MM.YYYY"/>
    <numFmt numFmtId="165" formatCode="#,##0 &quot;m²&quot;"/>
    <numFmt numFmtId="166" formatCode="#,##0.00 &quot;€&quot;"/>
  </numFmts>
  <fonts count="8">
    <font>
      <name val="Calibri"/>
      <family val="2"/>
      <color theme="1"/>
      <sz val="11"/>
      <scheme val="minor"/>
    </font>
    <font>
      <name val="Calibri"/>
      <b val="1"/>
      <color rgb="00FFFFFF"/>
      <sz val="14"/>
    </font>
    <font>
      <name val="Calibri"/>
      <b val="1"/>
      <color rgb="00FFFFFF"/>
      <sz val="11"/>
    </font>
    <font>
      <name val="Calibri"/>
      <sz val="11"/>
    </font>
    <font>
      <name val="Calibri"/>
      <b val="1"/>
      <sz val="11"/>
    </font>
    <font>
      <name val="Calibri"/>
      <b val="1"/>
      <color rgb="00C8102E"/>
      <sz val="11"/>
    </font>
    <font>
      <name val="Calibri"/>
      <b val="1"/>
      <color rgb="00DC2626"/>
      <sz val="12"/>
    </font>
    <font>
      <name val="Calibri"/>
      <b val="1"/>
      <color rgb="0016A34A"/>
      <sz val="12"/>
    </font>
  </fonts>
  <fills count="7">
    <fill>
      <patternFill/>
    </fill>
    <fill>
      <patternFill patternType="gray125"/>
    </fill>
    <fill>
      <patternFill patternType="solid">
        <fgColor rgb="001E293B"/>
      </patternFill>
    </fill>
    <fill>
      <patternFill patternType="solid">
        <fgColor rgb="00F8FAFC"/>
      </patternFill>
    </fill>
    <fill>
      <patternFill patternType="solid">
        <fgColor rgb="00FFFBEB"/>
      </patternFill>
    </fill>
    <fill>
      <patternFill patternType="solid">
        <fgColor rgb="002C4C73"/>
      </patternFill>
    </fill>
    <fill>
      <patternFill patternType="solid">
        <fgColor rgb="00E8F1FA"/>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49">
    <xf numFmtId="0" fontId="0" fillId="0" borderId="0" pivotButton="0" quotePrefix="0" xfId="0"/>
    <xf numFmtId="0" fontId="1" fillId="2" borderId="0" applyAlignment="1" pivotButton="0" quotePrefix="0" xfId="0">
      <alignment horizontal="center" vertical="center"/>
    </xf>
    <xf numFmtId="0" fontId="2" fillId="2" borderId="1" applyAlignment="1" pivotButton="0" quotePrefix="0" xfId="0">
      <alignment horizontal="center" vertical="center"/>
    </xf>
    <xf numFmtId="0" fontId="3" fillId="4" borderId="1" applyAlignment="1" pivotButton="0" quotePrefix="0" xfId="0">
      <alignment horizontal="left" vertical="center" wrapText="1"/>
    </xf>
    <xf numFmtId="164" fontId="3" fillId="4" borderId="1" applyAlignment="1" pivotButton="0" quotePrefix="0" xfId="0">
      <alignment horizontal="center" vertical="center"/>
    </xf>
    <xf numFmtId="165" fontId="3" fillId="4" borderId="1" applyAlignment="1" pivotButton="0" quotePrefix="0" xfId="0">
      <alignment horizontal="right" vertical="center"/>
    </xf>
    <xf numFmtId="166" fontId="3" fillId="4" borderId="1" applyAlignment="1" pivotButton="0" quotePrefix="0" xfId="0">
      <alignment horizontal="right" vertical="center"/>
    </xf>
    <xf numFmtId="10" fontId="3" fillId="4" borderId="1" applyAlignment="1" pivotButton="0" quotePrefix="0" xfId="0">
      <alignment horizontal="right" vertical="center"/>
    </xf>
    <xf numFmtId="166" fontId="3" fillId="3" borderId="1" applyAlignment="1" pivotButton="0" quotePrefix="0" xfId="0">
      <alignment horizontal="right" vertical="center"/>
    </xf>
    <xf numFmtId="0" fontId="3" fillId="3" borderId="1" applyAlignment="1" pivotButton="0" quotePrefix="0" xfId="0">
      <alignment horizontal="center" vertical="center"/>
    </xf>
    <xf numFmtId="166" fontId="3" fillId="0" borderId="1" applyAlignment="1" pivotButton="0" quotePrefix="0" xfId="0">
      <alignment horizontal="right" vertical="center"/>
    </xf>
    <xf numFmtId="0" fontId="3" fillId="0" borderId="1" applyAlignment="1" pivotButton="0" quotePrefix="0" xfId="0">
      <alignment horizontal="center" vertical="center"/>
    </xf>
    <xf numFmtId="0" fontId="2" fillId="5" borderId="1" applyAlignment="1" pivotButton="0" quotePrefix="0" xfId="0">
      <alignment horizontal="left" vertical="center" wrapText="1"/>
    </xf>
    <xf numFmtId="166" fontId="4" fillId="6" borderId="1" applyAlignment="1" pivotButton="0" quotePrefix="0" xfId="0">
      <alignment horizontal="right" vertical="center"/>
    </xf>
    <xf numFmtId="10" fontId="4" fillId="6" borderId="1" applyAlignment="1" pivotButton="0" quotePrefix="0" xfId="0">
      <alignment horizontal="right" vertical="center"/>
    </xf>
    <xf numFmtId="1" fontId="4" fillId="6" borderId="1" applyAlignment="1" pivotButton="0" quotePrefix="0" xfId="0">
      <alignment horizontal="right" vertical="center"/>
    </xf>
    <xf numFmtId="0" fontId="5" fillId="0" borderId="0" pivotButton="0" quotePrefix="0" xfId="0"/>
    <xf numFmtId="0" fontId="4" fillId="4" borderId="1" applyAlignment="1" pivotButton="0" quotePrefix="0" xfId="0">
      <alignment horizontal="center" vertical="center"/>
    </xf>
    <xf numFmtId="0" fontId="4" fillId="0" borderId="0" pivotButton="0" quotePrefix="0" xfId="0"/>
    <xf numFmtId="0" fontId="3" fillId="6" borderId="1" pivotButton="0" quotePrefix="0" xfId="0"/>
    <xf numFmtId="0" fontId="4" fillId="3" borderId="1" pivotButton="0" quotePrefix="0" xfId="0"/>
    <xf numFmtId="1" fontId="7" fillId="0" borderId="1" applyAlignment="1" pivotButton="0" quotePrefix="0" xfId="0">
      <alignment horizontal="right" vertical="center"/>
    </xf>
    <xf numFmtId="166" fontId="7" fillId="0" borderId="1" applyAlignment="1" pivotButton="0" quotePrefix="0" xfId="0">
      <alignment horizontal="right" vertical="center"/>
    </xf>
    <xf numFmtId="166" fontId="6" fillId="6" borderId="1" pivotButton="0" quotePrefix="0" xfId="0"/>
    <xf numFmtId="166" fontId="6" fillId="0" borderId="1" applyAlignment="1" pivotButton="0" quotePrefix="0" xfId="0">
      <alignment horizontal="right" vertical="center"/>
    </xf>
    <xf numFmtId="10" fontId="6" fillId="0" borderId="1" applyAlignment="1" pivotButton="0" quotePrefix="0" xfId="0">
      <alignment horizontal="right" vertical="center"/>
    </xf>
    <xf numFmtId="0" fontId="2" fillId="2" borderId="0" pivotButton="0" quotePrefix="0" xfId="0"/>
    <xf numFmtId="0" fontId="0" fillId="0" borderId="1" pivotButton="0" quotePrefix="0" xfId="0"/>
    <xf numFmtId="166" fontId="0" fillId="0" borderId="1" pivotButton="0" quotePrefix="0" xfId="0"/>
    <xf numFmtId="0" fontId="0" fillId="0" borderId="1" applyAlignment="1" pivotButton="0" quotePrefix="0" xfId="0">
      <alignment horizontal="center" vertical="center"/>
    </xf>
    <xf numFmtId="0" fontId="4" fillId="0" borderId="0" applyAlignment="1" pivotButton="0" quotePrefix="0" xfId="0">
      <alignment horizontal="left" vertical="top"/>
    </xf>
    <xf numFmtId="0" fontId="3" fillId="4" borderId="0" applyAlignment="1" pivotButton="0" quotePrefix="0" xfId="0">
      <alignment horizontal="left" vertical="top" wrapText="1"/>
    </xf>
    <xf numFmtId="0" fontId="3" fillId="6" borderId="0" applyAlignment="1" pivotButton="0" quotePrefix="0" xfId="0">
      <alignment horizontal="left" vertical="top" wrapText="1"/>
    </xf>
    <xf numFmtId="165" fontId="3" fillId="6" borderId="0" applyAlignment="1" pivotButton="0" quotePrefix="0" xfId="0">
      <alignment horizontal="left" vertical="top" wrapText="1"/>
    </xf>
    <xf numFmtId="166" fontId="3" fillId="6" borderId="0" applyAlignment="1" pivotButton="0" quotePrefix="0" xfId="0">
      <alignment horizontal="left" vertical="top" wrapText="1"/>
    </xf>
    <xf numFmtId="10" fontId="3" fillId="6" borderId="0" applyAlignment="1" pivotButton="0" quotePrefix="0" xfId="0">
      <alignment horizontal="left" vertical="top" wrapText="1"/>
    </xf>
    <xf numFmtId="0" fontId="3" fillId="0" borderId="0" applyAlignment="1" pivotButton="0" quotePrefix="0" xfId="0">
      <alignment horizontal="left" vertical="top" wrapText="1"/>
    </xf>
    <xf numFmtId="164" fontId="3" fillId="4" borderId="1" applyAlignment="1" pivotButton="0" quotePrefix="0" xfId="0">
      <alignment horizontal="center" vertical="center"/>
    </xf>
    <xf numFmtId="165" fontId="3" fillId="4" borderId="1" applyAlignment="1" pivotButton="0" quotePrefix="0" xfId="0">
      <alignment horizontal="right" vertical="center"/>
    </xf>
    <xf numFmtId="166" fontId="3" fillId="4" borderId="1" applyAlignment="1" pivotButton="0" quotePrefix="0" xfId="0">
      <alignment horizontal="right" vertical="center"/>
    </xf>
    <xf numFmtId="166" fontId="3" fillId="3" borderId="1" applyAlignment="1" pivotButton="0" quotePrefix="0" xfId="0">
      <alignment horizontal="right" vertical="center"/>
    </xf>
    <xf numFmtId="166" fontId="3" fillId="0" borderId="1" applyAlignment="1" pivotButton="0" quotePrefix="0" xfId="0">
      <alignment horizontal="right" vertical="center"/>
    </xf>
    <xf numFmtId="166" fontId="4" fillId="6" borderId="1" applyAlignment="1" pivotButton="0" quotePrefix="0" xfId="0">
      <alignment horizontal="right" vertical="center"/>
    </xf>
    <xf numFmtId="166" fontId="7" fillId="0" borderId="1" applyAlignment="1" pivotButton="0" quotePrefix="0" xfId="0">
      <alignment horizontal="right" vertical="center"/>
    </xf>
    <xf numFmtId="166" fontId="6" fillId="6" borderId="1" pivotButton="0" quotePrefix="0" xfId="0"/>
    <xf numFmtId="166" fontId="6" fillId="0" borderId="1" applyAlignment="1" pivotButton="0" quotePrefix="0" xfId="0">
      <alignment horizontal="right" vertical="center"/>
    </xf>
    <xf numFmtId="166" fontId="0" fillId="0" borderId="1" pivotButton="0" quotePrefix="0" xfId="0"/>
    <xf numFmtId="165" fontId="3" fillId="6" borderId="0" applyAlignment="1" pivotButton="0" quotePrefix="0" xfId="0">
      <alignment horizontal="left" vertical="top" wrapText="1"/>
    </xf>
    <xf numFmtId="166" fontId="3" fillId="6" borderId="0" applyAlignment="1" pivotButton="0" quotePrefix="0" xfId="0">
      <alignment horizontal="left" vertical="top" wrapText="1"/>
    </xf>
  </cellXfs>
  <cellStyles count="1">
    <cellStyle name="Normal" xfId="0" builtinId="0" hidden="0"/>
  </cellStyles>
  <dxfs count="2">
    <dxf>
      <font>
        <b val="1"/>
        <color rgb="00DC2626"/>
      </font>
      <fill>
        <patternFill patternType="solid">
          <fgColor rgb="00FEE2E2"/>
        </patternFill>
      </fill>
    </dxf>
    <dxf>
      <fill>
        <patternFill patternType="solid">
          <fgColor rgb="00FEF9C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Wertminderung je Fall</a:t>
            </a:r>
          </a:p>
        </rich>
      </tx>
    </title>
    <plotArea>
      <barChart>
        <barDir val="col"/>
        <grouping val="clustered"/>
        <ser>
          <idx val="0"/>
          <order val="0"/>
          <tx>
            <strRef>
              <f>'Wertminderungsfälle'!N3</f>
            </strRef>
          </tx>
          <spPr>
            <a:ln xmlns:a="http://schemas.openxmlformats.org/drawingml/2006/main">
              <a:prstDash val="solid"/>
            </a:ln>
          </spPr>
          <cat>
            <numRef>
              <f>'Wertminderungsfälle'!$A$4:$A$13</f>
            </numRef>
          </cat>
          <val>
            <numRef>
              <f>'Wertminderungsfälle'!$N$4:$N$13</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Wertminderung nach Grund</a:t>
            </a:r>
          </a:p>
        </rich>
      </tx>
    </title>
    <plotArea>
      <barChart>
        <barDir val="bar"/>
        <grouping val="clustered"/>
        <ser>
          <idx val="0"/>
          <order val="0"/>
          <tx>
            <strRef>
              <f>'Auswertung'!E13</f>
            </strRef>
          </tx>
          <spPr>
            <a:ln xmlns:a="http://schemas.openxmlformats.org/drawingml/2006/main">
              <a:prstDash val="solid"/>
            </a:ln>
          </spPr>
          <cat>
            <numRef>
              <f>'Auswertung'!$D$14:$D$23</f>
            </numRef>
          </cat>
          <val>
            <numRef>
              <f>'Auswertung'!$E$14:$E$23</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Verteilung der Statuswerte</a:t>
            </a:r>
          </a:p>
        </rich>
      </tx>
    </title>
    <plotArea>
      <pieChart>
        <varyColors val="1"/>
        <ser>
          <idx val="0"/>
          <order val="0"/>
          <tx>
            <strRef>
              <f>'Auswertung'!H13</f>
            </strRef>
          </tx>
          <spPr>
            <a:ln xmlns:a="http://schemas.openxmlformats.org/drawingml/2006/main">
              <a:prstDash val="solid"/>
            </a:ln>
          </spPr>
          <cat>
            <numRef>
              <f>'Auswertung'!$G$14:$G$16</f>
            </numRef>
          </cat>
          <val>
            <numRef>
              <f>'Auswertung'!$H$14:$H$16</f>
            </numRef>
          </val>
        </ser>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0</col>
      <colOff>0</colOff>
      <row>24</row>
      <rowOff>0</rowOff>
    </from>
    <ext cx="648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24</row>
      <rowOff>0</rowOff>
    </from>
    <ext cx="6480000" cy="32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9</col>
      <colOff>0</colOff>
      <row>7</row>
      <rowOff>0</rowOff>
    </from>
    <ext cx="4320000" cy="324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S18"/>
  <sheetViews>
    <sheetView workbookViewId="0">
      <pane ySplit="3" topLeftCell="A4" activePane="bottomLeft" state="frozen"/>
      <selection pane="bottomLeft" activeCell="A1" sqref="A1"/>
    </sheetView>
  </sheetViews>
  <sheetFormatPr baseColWidth="8" defaultRowHeight="15"/>
  <cols>
    <col width="10" customWidth="1" min="1" max="1"/>
    <col width="14" customWidth="1" min="2" max="2"/>
    <col width="18" customWidth="1" min="3" max="3"/>
    <col width="18" customWidth="1" min="4" max="4"/>
    <col width="12" customWidth="1" min="5" max="5"/>
    <col width="18" customWidth="1" min="6" max="6"/>
    <col width="34" customWidth="1" min="7" max="7"/>
    <col width="12" customWidth="1" min="8" max="8"/>
    <col width="18" customWidth="1" min="9" max="9"/>
    <col width="26" customWidth="1" min="10" max="10"/>
    <col width="14" customWidth="1" min="11" max="11"/>
    <col width="14" customWidth="1" min="12" max="12"/>
    <col width="12" customWidth="1" min="13" max="13"/>
    <col width="16" customWidth="1" min="14" max="14"/>
    <col width="18" customWidth="1" min="15" max="15"/>
    <col width="20" customWidth="1" min="16" max="16"/>
    <col width="22" customWidth="1" min="17" max="17"/>
    <col width="14" customWidth="1" min="18" max="18"/>
    <col width="42" customWidth="1" min="19" max="19"/>
  </cols>
  <sheetData>
    <row r="1" ht="30" customHeight="1">
      <c r="A1" s="1" t="inlineStr">
        <is>
          <t>Wertminderungsfälle – Erfassung und Berechnung der Wertminderung</t>
        </is>
      </c>
    </row>
    <row r="2"/>
    <row r="3" ht="42" customHeight="1">
      <c r="A3" s="2" t="inlineStr">
        <is>
          <t>Fall-ID</t>
        </is>
      </c>
      <c r="B3" s="2" t="inlineStr">
        <is>
          <t>Bewertungsdatum</t>
        </is>
      </c>
      <c r="C3" s="2" t="inlineStr">
        <is>
          <t>Eigentümer/in</t>
        </is>
      </c>
      <c r="D3" s="2" t="inlineStr">
        <is>
          <t>Ansprechpartner/in</t>
        </is>
      </c>
      <c r="E3" s="2" t="inlineStr">
        <is>
          <t>Stadt</t>
        </is>
      </c>
      <c r="F3" s="2" t="inlineStr">
        <is>
          <t>Objektart</t>
        </is>
      </c>
      <c r="G3" s="2" t="inlineStr">
        <is>
          <t>Adresse</t>
        </is>
      </c>
      <c r="H3" s="2" t="inlineStr">
        <is>
          <t>Wohn-/Nutzfläche (m²)</t>
        </is>
      </c>
      <c r="I3" s="2" t="inlineStr">
        <is>
          <t>Ursprünglicher Verkehrswert (€)</t>
        </is>
      </c>
      <c r="J3" s="2" t="inlineStr">
        <is>
          <t>Wertminderungsgrund</t>
        </is>
      </c>
      <c r="K3" s="2" t="inlineStr">
        <is>
          <t>Schadens-/Beeinträchtigungsgrad (%)</t>
        </is>
      </c>
      <c r="L3" s="2" t="inlineStr">
        <is>
          <t>Reparaturkosten (€)</t>
        </is>
      </c>
      <c r="M3" s="2" t="inlineStr">
        <is>
          <t>Marktabschlag (%)</t>
        </is>
      </c>
      <c r="N3" s="2" t="inlineStr">
        <is>
          <t>Geschätzte Wertminderung (€)</t>
        </is>
      </c>
      <c r="O3" s="2" t="inlineStr">
        <is>
          <t>Restwert nach Wertminderung (€)</t>
        </is>
      </c>
      <c r="P3" s="2" t="inlineStr">
        <is>
          <t>Status</t>
        </is>
      </c>
      <c r="Q3" s="2" t="inlineStr">
        <is>
          <t>Gutachterliche Grundlage</t>
        </is>
      </c>
      <c r="R3" s="2" t="inlineStr">
        <is>
          <t>Letzte Prüfung</t>
        </is>
      </c>
      <c r="S3" s="2" t="inlineStr">
        <is>
          <t>Bemerkung</t>
        </is>
      </c>
    </row>
    <row r="4" ht="22" customHeight="1">
      <c r="A4" s="3" t="inlineStr">
        <is>
          <t>WM-001</t>
        </is>
      </c>
      <c r="B4" s="37" t="n">
        <v>46042</v>
      </c>
      <c r="C4" s="3" t="inlineStr">
        <is>
          <t>Thomas Müller</t>
        </is>
      </c>
      <c r="D4" s="3" t="inlineStr">
        <is>
          <t>Julia Wagner</t>
        </is>
      </c>
      <c r="E4" s="3" t="inlineStr">
        <is>
          <t>Berlin</t>
        </is>
      </c>
      <c r="F4" s="3" t="inlineStr">
        <is>
          <t>Eigentumswohnung</t>
        </is>
      </c>
      <c r="G4" s="3" t="inlineStr">
        <is>
          <t>Kantstraße 45, 10625 Berlin</t>
        </is>
      </c>
      <c r="H4" s="38" t="n">
        <v>78</v>
      </c>
      <c r="I4" s="39" t="n">
        <v>385000</v>
      </c>
      <c r="J4" s="3" t="inlineStr">
        <is>
          <t>Feuchtigkeitsschaden</t>
        </is>
      </c>
      <c r="K4" s="7" t="n">
        <v>0.08</v>
      </c>
      <c r="L4" s="39" t="n">
        <v>18000</v>
      </c>
      <c r="M4" s="7" t="n">
        <v>0.03</v>
      </c>
      <c r="N4" s="40">
        <f>IFERROR(I4*(K4+M4),0)</f>
        <v/>
      </c>
      <c r="O4" s="40">
        <f>IFERROR(I4-N4,0)</f>
        <v/>
      </c>
      <c r="P4" s="9">
        <f>IF(N4&gt;50000,"Hohe Wertminderung",IF(N4&gt;20000,"Mittlere Wertminderung","Geringe Wertminderung"))</f>
        <v/>
      </c>
      <c r="Q4" s="3" t="inlineStr">
        <is>
          <t>Verkehrswertgutachten</t>
        </is>
      </c>
      <c r="R4" s="37" t="n">
        <v>46096</v>
      </c>
      <c r="S4" s="3" t="inlineStr">
        <is>
          <t>Feuchtigkeit im Kellergeschoss festgestellt</t>
        </is>
      </c>
    </row>
    <row r="5" ht="22" customHeight="1">
      <c r="A5" s="3" t="inlineStr">
        <is>
          <t>WM-002</t>
        </is>
      </c>
      <c r="B5" s="37" t="n">
        <v>46058</v>
      </c>
      <c r="C5" s="3" t="inlineStr">
        <is>
          <t>Sabine Schneider</t>
        </is>
      </c>
      <c r="D5" s="3" t="inlineStr">
        <is>
          <t>Thomas Müller</t>
        </is>
      </c>
      <c r="E5" s="3" t="inlineStr">
        <is>
          <t>München</t>
        </is>
      </c>
      <c r="F5" s="3" t="inlineStr">
        <is>
          <t>Reihenhaus</t>
        </is>
      </c>
      <c r="G5" s="3" t="inlineStr">
        <is>
          <t>Leopoldstraße 112, 80802 München</t>
        </is>
      </c>
      <c r="H5" s="38" t="n">
        <v>132</v>
      </c>
      <c r="I5" s="39" t="n">
        <v>890000</v>
      </c>
      <c r="J5" s="3" t="inlineStr">
        <is>
          <t>Verkehrslärm</t>
        </is>
      </c>
      <c r="K5" s="7" t="n">
        <v>0.06</v>
      </c>
      <c r="L5" s="39" t="n">
        <v>9500</v>
      </c>
      <c r="M5" s="7" t="n">
        <v>0.04</v>
      </c>
      <c r="N5" s="41">
        <f>IFERROR(I5*(K5+M5),0)</f>
        <v/>
      </c>
      <c r="O5" s="41">
        <f>IFERROR(I5-N5,0)</f>
        <v/>
      </c>
      <c r="P5" s="11">
        <f>IF(N5&gt;50000,"Hohe Wertminderung",IF(N5&gt;20000,"Mittlere Wertminderung","Geringe Wertminderung"))</f>
        <v/>
      </c>
      <c r="Q5" s="3" t="inlineStr">
        <is>
          <t>Lärmgutachten</t>
        </is>
      </c>
      <c r="R5" s="37" t="n">
        <v>46114</v>
      </c>
      <c r="S5" s="3" t="inlineStr">
        <is>
          <t>Anliegende Hauptverkehrsstraße, hohe Lärmbelastung</t>
        </is>
      </c>
    </row>
    <row r="6" ht="22" customHeight="1">
      <c r="A6" s="3" t="inlineStr">
        <is>
          <t>WM-003</t>
        </is>
      </c>
      <c r="B6" s="37" t="n">
        <v>46071</v>
      </c>
      <c r="C6" s="3" t="inlineStr">
        <is>
          <t>Michael Fischer</t>
        </is>
      </c>
      <c r="D6" s="3" t="inlineStr">
        <is>
          <t>Anna Schmidt</t>
        </is>
      </c>
      <c r="E6" s="3" t="inlineStr">
        <is>
          <t>Hamburg</t>
        </is>
      </c>
      <c r="F6" s="3" t="inlineStr">
        <is>
          <t>Einfamilienhaus</t>
        </is>
      </c>
      <c r="G6" s="3" t="inlineStr">
        <is>
          <t>Blankeneser Landstraße 78, 22587 Hamburg</t>
        </is>
      </c>
      <c r="H6" s="38" t="n">
        <v>156</v>
      </c>
      <c r="I6" s="39" t="n">
        <v>720000</v>
      </c>
      <c r="J6" s="3" t="inlineStr">
        <is>
          <t>Dachmangel</t>
        </is>
      </c>
      <c r="K6" s="7" t="n">
        <v>0.1</v>
      </c>
      <c r="L6" s="39" t="n">
        <v>32000</v>
      </c>
      <c r="M6" s="7" t="n">
        <v>0.05</v>
      </c>
      <c r="N6" s="40">
        <f>IFERROR(I6*(K6+M6),0)</f>
        <v/>
      </c>
      <c r="O6" s="40">
        <f>IFERROR(I6-N6,0)</f>
        <v/>
      </c>
      <c r="P6" s="9">
        <f>IF(N6&gt;50000,"Hohe Wertminderung",IF(N6&gt;20000,"Mittlere Wertminderung","Geringe Wertminderung"))</f>
        <v/>
      </c>
      <c r="Q6" s="3" t="inlineStr">
        <is>
          <t>Bauschadensgutachten</t>
        </is>
      </c>
      <c r="R6" s="37" t="n">
        <v>46132</v>
      </c>
      <c r="S6" s="3" t="inlineStr">
        <is>
          <t>Dachstuhl beschädigt, Sanierung erforderlich</t>
        </is>
      </c>
    </row>
    <row r="7" ht="22" customHeight="1">
      <c r="A7" s="3" t="inlineStr">
        <is>
          <t>WM-004</t>
        </is>
      </c>
      <c r="B7" s="37" t="n">
        <v>46084</v>
      </c>
      <c r="C7" s="3" t="inlineStr">
        <is>
          <t>Andrea Weber</t>
        </is>
      </c>
      <c r="D7" s="3" t="inlineStr">
        <is>
          <t>Stefan Becker</t>
        </is>
      </c>
      <c r="E7" s="3" t="inlineStr">
        <is>
          <t>Köln</t>
        </is>
      </c>
      <c r="F7" s="3" t="inlineStr">
        <is>
          <t>Eigentumswohnung</t>
        </is>
      </c>
      <c r="G7" s="3" t="inlineStr">
        <is>
          <t>Aachener Straße 210, 50923 Köln</t>
        </is>
      </c>
      <c r="H7" s="38" t="n">
        <v>65</v>
      </c>
      <c r="I7" s="39" t="n">
        <v>298000</v>
      </c>
      <c r="J7" s="3" t="inlineStr">
        <is>
          <t>Schimmelverdacht</t>
        </is>
      </c>
      <c r="K7" s="7" t="n">
        <v>0.12</v>
      </c>
      <c r="L7" s="39" t="n">
        <v>14500</v>
      </c>
      <c r="M7" s="7" t="n">
        <v>0.06</v>
      </c>
      <c r="N7" s="41">
        <f>IFERROR(I7*(K7+M7),0)</f>
        <v/>
      </c>
      <c r="O7" s="41">
        <f>IFERROR(I7-N7,0)</f>
        <v/>
      </c>
      <c r="P7" s="11">
        <f>IF(N7&gt;50000,"Hohe Wertminderung",IF(N7&gt;20000,"Mittlere Wertminderung","Geringe Wertminderung"))</f>
        <v/>
      </c>
      <c r="Q7" s="3" t="inlineStr">
        <is>
          <t>Schimmelpilzgutachten</t>
        </is>
      </c>
      <c r="R7" s="37" t="n">
        <v>46150</v>
      </c>
      <c r="S7" s="3" t="inlineStr">
        <is>
          <t>Schimmelverdacht im Bad und Schlafzimmer</t>
        </is>
      </c>
    </row>
    <row r="8" ht="22" customHeight="1">
      <c r="A8" s="3" t="inlineStr">
        <is>
          <t>WM-005</t>
        </is>
      </c>
      <c r="B8" s="37" t="n">
        <v>46102</v>
      </c>
      <c r="C8" s="3" t="inlineStr">
        <is>
          <t>Stefan Wagner</t>
        </is>
      </c>
      <c r="D8" s="3" t="inlineStr">
        <is>
          <t>Katrin Schulz</t>
        </is>
      </c>
      <c r="E8" s="3" t="inlineStr">
        <is>
          <t>Frankfurt</t>
        </is>
      </c>
      <c r="F8" s="3" t="inlineStr">
        <is>
          <t>Mehrfamilienhaus</t>
        </is>
      </c>
      <c r="G8" s="3" t="inlineStr">
        <is>
          <t>Bockenheimer Landstraße 55, 60325 Frankfurt</t>
        </is>
      </c>
      <c r="H8" s="38" t="n">
        <v>420</v>
      </c>
      <c r="I8" s="39" t="n">
        <v>1850000</v>
      </c>
      <c r="J8" s="3" t="inlineStr">
        <is>
          <t>Altlastenverdacht</t>
        </is>
      </c>
      <c r="K8" s="7" t="n">
        <v>0.15</v>
      </c>
      <c r="L8" s="39" t="n">
        <v>45000</v>
      </c>
      <c r="M8" s="7" t="n">
        <v>0.08</v>
      </c>
      <c r="N8" s="40">
        <f>IFERROR(I8*(K8+M8),0)</f>
        <v/>
      </c>
      <c r="O8" s="40">
        <f>IFERROR(I8-N8,0)</f>
        <v/>
      </c>
      <c r="P8" s="9">
        <f>IF(N8&gt;50000,"Hohe Wertminderung",IF(N8&gt;20000,"Mittlere Wertminderung","Geringe Wertminderung"))</f>
        <v/>
      </c>
      <c r="Q8" s="3" t="inlineStr">
        <is>
          <t>Altlastengutachten</t>
        </is>
      </c>
      <c r="R8" s="37" t="n">
        <v>46167</v>
      </c>
      <c r="S8" s="3" t="inlineStr">
        <is>
          <t>Ehemalige Gewerbefläche, Bodenuntersuchung ausstehend</t>
        </is>
      </c>
    </row>
    <row r="9" ht="22" customHeight="1">
      <c r="A9" s="3" t="inlineStr">
        <is>
          <t>WM-006</t>
        </is>
      </c>
      <c r="B9" s="37" t="n">
        <v>46122</v>
      </c>
      <c r="C9" s="3" t="inlineStr">
        <is>
          <t>Petra Becker</t>
        </is>
      </c>
      <c r="D9" s="3" t="inlineStr">
        <is>
          <t>Andreas Hoffmann</t>
        </is>
      </c>
      <c r="E9" s="3" t="inlineStr">
        <is>
          <t>Stuttgart</t>
        </is>
      </c>
      <c r="F9" s="3" t="inlineStr">
        <is>
          <t>Doppelhaushälfte</t>
        </is>
      </c>
      <c r="G9" s="3" t="inlineStr">
        <is>
          <t>Königstraße 12, 70173 Stuttgart</t>
        </is>
      </c>
      <c r="H9" s="38" t="n">
        <v>118</v>
      </c>
      <c r="I9" s="39" t="n">
        <v>640000</v>
      </c>
      <c r="J9" s="3" t="inlineStr">
        <is>
          <t>Rissbildung</t>
        </is>
      </c>
      <c r="K9" s="7" t="n">
        <v>0.07000000000000001</v>
      </c>
      <c r="L9" s="39" t="n">
        <v>22000</v>
      </c>
      <c r="M9" s="7" t="n">
        <v>0.04</v>
      </c>
      <c r="N9" s="41">
        <f>IFERROR(I9*(K9+M9),0)</f>
        <v/>
      </c>
      <c r="O9" s="41">
        <f>IFERROR(I9-N9,0)</f>
        <v/>
      </c>
      <c r="P9" s="11">
        <f>IF(N9&gt;50000,"Hohe Wertminderung",IF(N9&gt;20000,"Mittlere Wertminderung","Geringe Wertminderung"))</f>
        <v/>
      </c>
      <c r="Q9" s="3" t="inlineStr">
        <is>
          <t>Statikgutachten</t>
        </is>
      </c>
      <c r="R9" s="37" t="n">
        <v>46174</v>
      </c>
      <c r="S9" s="3" t="inlineStr">
        <is>
          <t>Setzrisse an der Fassade, Statik zu prüfen</t>
        </is>
      </c>
    </row>
    <row r="10" ht="22" customHeight="1">
      <c r="A10" s="3" t="inlineStr">
        <is>
          <t>WM-007</t>
        </is>
      </c>
      <c r="B10" s="37" t="n">
        <v>46140</v>
      </c>
      <c r="C10" s="3" t="inlineStr">
        <is>
          <t>Andreas Hoffmann</t>
        </is>
      </c>
      <c r="D10" s="3" t="inlineStr">
        <is>
          <t>Sabine Fischer</t>
        </is>
      </c>
      <c r="E10" s="3" t="inlineStr">
        <is>
          <t>Düsseldorf</t>
        </is>
      </c>
      <c r="F10" s="3" t="inlineStr">
        <is>
          <t>Eigentumswohnung</t>
        </is>
      </c>
      <c r="G10" s="3" t="inlineStr">
        <is>
          <t>Königsallee 88, 40212 Düsseldorf</t>
        </is>
      </c>
      <c r="H10" s="38" t="n">
        <v>84</v>
      </c>
      <c r="I10" s="39" t="n">
        <v>445000</v>
      </c>
      <c r="J10" s="3" t="inlineStr">
        <is>
          <t>Baulärm</t>
        </is>
      </c>
      <c r="K10" s="7" t="n">
        <v>0.05</v>
      </c>
      <c r="L10" s="39" t="n">
        <v>4000</v>
      </c>
      <c r="M10" s="7" t="n">
        <v>0.03</v>
      </c>
      <c r="N10" s="40">
        <f>IFERROR(I10*(K10+M10),0)</f>
        <v/>
      </c>
      <c r="O10" s="40">
        <f>IFERROR(I10-N10,0)</f>
        <v/>
      </c>
      <c r="P10" s="9">
        <f>IF(N10&gt;50000,"Hohe Wertminderung",IF(N10&gt;20000,"Mittlere Wertminderung","Geringe Wertminderung"))</f>
        <v/>
      </c>
      <c r="Q10" s="3" t="inlineStr">
        <is>
          <t>Lärmgutachten</t>
        </is>
      </c>
      <c r="R10" s="37" t="n">
        <v>46185</v>
      </c>
      <c r="S10" s="3" t="inlineStr">
        <is>
          <t>Benachbarte Großbaustelle für mind. 2 Jahre</t>
        </is>
      </c>
    </row>
    <row r="11" ht="22" customHeight="1">
      <c r="A11" s="3" t="inlineStr">
        <is>
          <t>WM-008</t>
        </is>
      </c>
      <c r="B11" s="37" t="n">
        <v>46157</v>
      </c>
      <c r="C11" s="3" t="inlineStr">
        <is>
          <t>Claudia Schäfer</t>
        </is>
      </c>
      <c r="D11" s="3" t="inlineStr">
        <is>
          <t>Michael Weber</t>
        </is>
      </c>
      <c r="E11" s="3" t="inlineStr">
        <is>
          <t>Leipzig</t>
        </is>
      </c>
      <c r="F11" s="3" t="inlineStr">
        <is>
          <t>Einfamilienhaus</t>
        </is>
      </c>
      <c r="G11" s="3" t="inlineStr">
        <is>
          <t>Karl-Liebknecht-Straße 30, 04107 Leipzig</t>
        </is>
      </c>
      <c r="H11" s="38" t="n">
        <v>140</v>
      </c>
      <c r="I11" s="39" t="n">
        <v>385000</v>
      </c>
      <c r="J11" s="3" t="inlineStr">
        <is>
          <t>Hochwasserrisiko</t>
        </is>
      </c>
      <c r="K11" s="7" t="n">
        <v>0.09</v>
      </c>
      <c r="L11" s="39" t="n">
        <v>26000</v>
      </c>
      <c r="M11" s="7" t="n">
        <v>0.06</v>
      </c>
      <c r="N11" s="41">
        <f>IFERROR(I11*(K11+M11),0)</f>
        <v/>
      </c>
      <c r="O11" s="41">
        <f>IFERROR(I11-N11,0)</f>
        <v/>
      </c>
      <c r="P11" s="11">
        <f>IF(N11&gt;50000,"Hohe Wertminderung",IF(N11&gt;20000,"Mittlere Wertminderung","Geringe Wertminderung"))</f>
        <v/>
      </c>
      <c r="Q11" s="3" t="inlineStr">
        <is>
          <t>Hochwassergefahrenkarte</t>
        </is>
      </c>
      <c r="R11" s="37" t="n">
        <v>46203</v>
      </c>
      <c r="S11" s="3" t="inlineStr">
        <is>
          <t>Lage im 20-jährlichen Überschwemmungsgebiet</t>
        </is>
      </c>
    </row>
    <row r="12" ht="22" customHeight="1">
      <c r="A12" s="3" t="inlineStr">
        <is>
          <t>WM-009</t>
        </is>
      </c>
      <c r="B12" s="37" t="n">
        <v>46178</v>
      </c>
      <c r="C12" s="3" t="inlineStr">
        <is>
          <t>Markus Bauer</t>
        </is>
      </c>
      <c r="D12" s="3" t="inlineStr">
        <is>
          <t>Julia Wagner</t>
        </is>
      </c>
      <c r="E12" s="3" t="inlineStr">
        <is>
          <t>Dresden</t>
        </is>
      </c>
      <c r="F12" s="3" t="inlineStr">
        <is>
          <t>Reihenhaus</t>
        </is>
      </c>
      <c r="G12" s="3" t="inlineStr">
        <is>
          <t>Prager Straße 15, 01069 Dresden</t>
        </is>
      </c>
      <c r="H12" s="38" t="n">
        <v>125</v>
      </c>
      <c r="I12" s="39" t="n">
        <v>410000</v>
      </c>
      <c r="J12" s="3" t="inlineStr">
        <is>
          <t>Energetischer Sanierungsbedarf</t>
        </is>
      </c>
      <c r="K12" s="7" t="n">
        <v>0.11</v>
      </c>
      <c r="L12" s="39" t="n">
        <v>38000</v>
      </c>
      <c r="M12" s="7" t="n">
        <v>0.05</v>
      </c>
      <c r="N12" s="40">
        <f>IFERROR(I12*(K12+M12),0)</f>
        <v/>
      </c>
      <c r="O12" s="40">
        <f>IFERROR(I12-N12,0)</f>
        <v/>
      </c>
      <c r="P12" s="9">
        <f>IF(N12&gt;50000,"Hohe Wertminderung",IF(N12&gt;20000,"Mittlere Wertminderung","Geringe Wertminderung"))</f>
        <v/>
      </c>
      <c r="Q12" s="3" t="inlineStr">
        <is>
          <t>Energieberatung</t>
        </is>
      </c>
      <c r="R12" s="37" t="n">
        <v>46213</v>
      </c>
      <c r="S12" s="3" t="inlineStr">
        <is>
          <t>Energieklasse G, Heizung und Dämmung veraltet</t>
        </is>
      </c>
    </row>
    <row r="13" ht="22" customHeight="1">
      <c r="A13" s="3" t="inlineStr">
        <is>
          <t>WM-010</t>
        </is>
      </c>
      <c r="B13" s="37" t="n">
        <v>46225</v>
      </c>
      <c r="C13" s="3" t="inlineStr">
        <is>
          <t>Nicole Richter</t>
        </is>
      </c>
      <c r="D13" s="3" t="inlineStr">
        <is>
          <t>Stefan Becker</t>
        </is>
      </c>
      <c r="E13" s="3" t="inlineStr">
        <is>
          <t>Hannover</t>
        </is>
      </c>
      <c r="F13" s="3" t="inlineStr">
        <is>
          <t>Eigentumswohnung</t>
        </is>
      </c>
      <c r="G13" s="3" t="inlineStr">
        <is>
          <t>Georgstraße 21, 30159 Hannover</t>
        </is>
      </c>
      <c r="H13" s="38" t="n">
        <v>92</v>
      </c>
      <c r="I13" s="39" t="n">
        <v>355000</v>
      </c>
      <c r="J13" s="3" t="inlineStr">
        <is>
          <t>Unklare Wohnflächenabweichung</t>
        </is>
      </c>
      <c r="K13" s="7" t="n">
        <v>0.04</v>
      </c>
      <c r="L13" s="39" t="n">
        <v>2500</v>
      </c>
      <c r="M13" s="7" t="n">
        <v>0.02</v>
      </c>
      <c r="N13" s="41">
        <f>IFERROR(I13*(K13+M13),0)</f>
        <v/>
      </c>
      <c r="O13" s="41">
        <f>IFERROR(I13-N13,0)</f>
        <v/>
      </c>
      <c r="P13" s="11">
        <f>IF(N13&gt;50000,"Hohe Wertminderung",IF(N13&gt;20000,"Mittlere Wertminderung","Geringe Wertminderung"))</f>
        <v/>
      </c>
      <c r="Q13" s="3" t="inlineStr">
        <is>
          <t>Aufmaßgutachten</t>
        </is>
      </c>
      <c r="R13" s="37" t="n">
        <v>46234</v>
      </c>
      <c r="S13" s="3" t="inlineStr">
        <is>
          <t>Wohnfläche weicht von Teilungserklärung ab</t>
        </is>
      </c>
    </row>
    <row r="14"/>
    <row r="15">
      <c r="H15" s="12" t="inlineStr">
        <is>
          <t>Gesamte Wertminderung</t>
        </is>
      </c>
      <c r="I15" s="42">
        <f>SUM(N4:N13)</f>
        <v/>
      </c>
    </row>
    <row r="16">
      <c r="H16" s="12" t="inlineStr">
        <is>
          <t>Durchschnittlicher Marktabschlag</t>
        </is>
      </c>
      <c r="I16" s="14">
        <f>AVERAGE(M4:M13)</f>
        <v/>
      </c>
    </row>
    <row r="17">
      <c r="H17" s="12" t="inlineStr">
        <is>
          <t>Anzahl hoher Wertminderungen</t>
        </is>
      </c>
      <c r="I17" s="15">
        <f>COUNTIF(P4:P13,"Hohe Wertminderung")</f>
        <v/>
      </c>
    </row>
    <row r="18">
      <c r="H18" s="12" t="inlineStr">
        <is>
          <t>Höchste Wertminderung</t>
        </is>
      </c>
      <c r="I18" s="42">
        <f>MAX(N4:N13)</f>
        <v/>
      </c>
    </row>
  </sheetData>
  <autoFilter ref="A3:S13"/>
  <mergeCells count="1">
    <mergeCell ref="A1:S1"/>
  </mergeCells>
  <conditionalFormatting sqref="P4:P13">
    <cfRule type="cellIs" priority="1" operator="equal" dxfId="0">
      <formula>"Hohe Wertminderung"</formula>
    </cfRule>
    <cfRule type="cellIs" priority="2" operator="equal" dxfId="1">
      <formula>"Mittlere Wertminderung"</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24" customWidth="1" min="1" max="1"/>
    <col width="18" customWidth="1" min="2" max="2"/>
    <col width="4" customWidth="1" min="3" max="3"/>
    <col width="32" customWidth="1" min="4" max="4"/>
    <col width="16" customWidth="1" min="5" max="5"/>
    <col width="16" customWidth="1" min="6" max="6"/>
    <col width="24" customWidth="1" min="7" max="7"/>
    <col width="10" customWidth="1" min="8" max="8"/>
    <col width="4" customWidth="1" min="9" max="9"/>
    <col width="4" customWidth="1" min="10" max="10"/>
  </cols>
  <sheetData>
    <row r="1" ht="30" customHeight="1">
      <c r="A1" s="1" t="inlineStr">
        <is>
          <t>Auswertung – Kennzahlen und Diagramme</t>
        </is>
      </c>
    </row>
    <row r="2"/>
    <row r="3">
      <c r="A3" s="16" t="inlineStr">
        <is>
          <t>Fall-ID auswählen:</t>
        </is>
      </c>
      <c r="B3" s="17" t="inlineStr">
        <is>
          <t>WM-005</t>
        </is>
      </c>
      <c r="D3" s="16" t="inlineStr">
        <is>
          <t>Kennzahlen</t>
        </is>
      </c>
    </row>
    <row r="4">
      <c r="A4" s="18" t="inlineStr">
        <is>
          <t>Eigentümer/in</t>
        </is>
      </c>
      <c r="B4" s="19">
        <f>IFERROR(VLOOKUP(B3,Wertminderungsfälle!A2:S11,3,FALSE),"")</f>
        <v/>
      </c>
      <c r="D4" s="20" t="inlineStr">
        <is>
          <t>Anzahl Fälle</t>
        </is>
      </c>
      <c r="F4" s="21">
        <f>COUNTIF(Wertminderungsfälle!A2:A11,"&lt;&gt;")</f>
        <v/>
      </c>
    </row>
    <row r="5">
      <c r="A5" s="18" t="inlineStr">
        <is>
          <t>Stadt</t>
        </is>
      </c>
      <c r="B5" s="19">
        <f>IFERROR(VLOOKUP(B3,Wertminderungsfälle!A2:S11,5,FALSE),"")</f>
        <v/>
      </c>
      <c r="D5" s="20" t="inlineStr">
        <is>
          <t>Durchschnittlicher ursprünglicher Verkehrswert</t>
        </is>
      </c>
      <c r="F5" s="43">
        <f>AVERAGE(Wertminderungsfälle!I2:I11)</f>
        <v/>
      </c>
    </row>
    <row r="6">
      <c r="A6" s="18" t="inlineStr">
        <is>
          <t>Wertminderung</t>
        </is>
      </c>
      <c r="B6" s="44">
        <f>IFERROR(VLOOKUP(B3,Wertminderungsfälle!A2:S11,14,FALSE),0)</f>
        <v/>
      </c>
      <c r="D6" s="20" t="inlineStr">
        <is>
          <t>Gesamte Wertminderung</t>
        </is>
      </c>
      <c r="F6" s="45">
        <f>SUM(Wertminderungsfälle!N2:N11)</f>
        <v/>
      </c>
    </row>
    <row r="7">
      <c r="D7" s="20" t="inlineStr">
        <is>
          <t>Durchschnittliche Wertminderung in Prozent</t>
        </is>
      </c>
      <c r="F7" s="25">
        <f>IFERROR(AVERAGE(Wertminderungsfälle!K2:K11)+AVERAGE(Wertminderungsfälle!M2:M11),0)</f>
        <v/>
      </c>
    </row>
    <row r="8"/>
    <row r="9"/>
    <row r="10"/>
    <row r="11"/>
    <row r="12">
      <c r="D12" s="16" t="inlineStr">
        <is>
          <t>Wertminderung nach Grund</t>
        </is>
      </c>
      <c r="G12" s="16" t="inlineStr">
        <is>
          <t>Statusverteilung</t>
        </is>
      </c>
    </row>
    <row r="13">
      <c r="D13" s="26" t="inlineStr">
        <is>
          <t>Wertminderungsgrund</t>
        </is>
      </c>
      <c r="E13" s="26" t="inlineStr">
        <is>
          <t>Wertminderung (€)</t>
        </is>
      </c>
      <c r="G13" s="26" t="inlineStr">
        <is>
          <t>Status</t>
        </is>
      </c>
      <c r="H13" s="26" t="inlineStr">
        <is>
          <t>Anzahl</t>
        </is>
      </c>
    </row>
    <row r="14">
      <c r="D14" s="27" t="inlineStr">
        <is>
          <t>Feuchtigkeitsschaden</t>
        </is>
      </c>
      <c r="E14" s="46">
        <f>SUMIF(Wertminderungsfälle!$J$2:$J$11,D14,Wertminderungsfälle!$N$2:$N$11)</f>
        <v/>
      </c>
      <c r="G14" s="27" t="inlineStr">
        <is>
          <t>Geringe Wertminderung</t>
        </is>
      </c>
      <c r="H14" s="29">
        <f>COUNTIF(Wertminderungsfälle!$P$2:$P$11,G14)</f>
        <v/>
      </c>
    </row>
    <row r="15">
      <c r="D15" s="27" t="inlineStr">
        <is>
          <t>Verkehrslärm</t>
        </is>
      </c>
      <c r="E15" s="46">
        <f>SUMIF(Wertminderungsfälle!$J$2:$J$11,D15,Wertminderungsfälle!$N$2:$N$11)</f>
        <v/>
      </c>
      <c r="G15" s="27" t="inlineStr">
        <is>
          <t>Mittlere Wertminderung</t>
        </is>
      </c>
      <c r="H15" s="29">
        <f>COUNTIF(Wertminderungsfälle!$P$2:$P$11,G15)</f>
        <v/>
      </c>
    </row>
    <row r="16">
      <c r="D16" s="27" t="inlineStr">
        <is>
          <t>Dachmangel</t>
        </is>
      </c>
      <c r="E16" s="46">
        <f>SUMIF(Wertminderungsfälle!$J$2:$J$11,D16,Wertminderungsfälle!$N$2:$N$11)</f>
        <v/>
      </c>
      <c r="G16" s="27" t="inlineStr">
        <is>
          <t>Hohe Wertminderung</t>
        </is>
      </c>
      <c r="H16" s="29">
        <f>COUNTIF(Wertminderungsfälle!$P$2:$P$11,G16)</f>
        <v/>
      </c>
    </row>
    <row r="17">
      <c r="D17" s="27" t="inlineStr">
        <is>
          <t>Schimmelverdacht</t>
        </is>
      </c>
      <c r="E17" s="46">
        <f>SUMIF(Wertminderungsfälle!$J$2:$J$11,D17,Wertminderungsfälle!$N$2:$N$11)</f>
        <v/>
      </c>
    </row>
    <row r="18">
      <c r="D18" s="27" t="inlineStr">
        <is>
          <t>Altlastenverdacht</t>
        </is>
      </c>
      <c r="E18" s="46">
        <f>SUMIF(Wertminderungsfälle!$J$2:$J$11,D18,Wertminderungsfälle!$N$2:$N$11)</f>
        <v/>
      </c>
    </row>
    <row r="19">
      <c r="D19" s="27" t="inlineStr">
        <is>
          <t>Rissbildung</t>
        </is>
      </c>
      <c r="E19" s="46">
        <f>SUMIF(Wertminderungsfälle!$J$2:$J$11,D19,Wertminderungsfälle!$N$2:$N$11)</f>
        <v/>
      </c>
    </row>
    <row r="20">
      <c r="D20" s="27" t="inlineStr">
        <is>
          <t>Baulärm</t>
        </is>
      </c>
      <c r="E20" s="46">
        <f>SUMIF(Wertminderungsfälle!$J$2:$J$11,D20,Wertminderungsfälle!$N$2:$N$11)</f>
        <v/>
      </c>
    </row>
    <row r="21">
      <c r="D21" s="27" t="inlineStr">
        <is>
          <t>Hochwasserrisiko</t>
        </is>
      </c>
      <c r="E21" s="46">
        <f>SUMIF(Wertminderungsfälle!$J$2:$J$11,D21,Wertminderungsfälle!$N$2:$N$11)</f>
        <v/>
      </c>
    </row>
    <row r="22">
      <c r="D22" s="27" t="inlineStr">
        <is>
          <t>Energetischer Sanierungsbedarf</t>
        </is>
      </c>
      <c r="E22" s="46">
        <f>SUMIF(Wertminderungsfälle!$J$2:$J$11,D22,Wertminderungsfälle!$N$2:$N$11)</f>
        <v/>
      </c>
    </row>
    <row r="23">
      <c r="D23" s="27" t="inlineStr">
        <is>
          <t>Unklare Wohnflächenabweichung</t>
        </is>
      </c>
      <c r="E23" s="46">
        <f>SUMIF(Wertminderungsfälle!$J$2:$J$11,D23,Wertminderungsfälle!$N$2:$N$11)</f>
        <v/>
      </c>
    </row>
  </sheetData>
  <mergeCells count="1">
    <mergeCell ref="A1:H1"/>
  </mergeCells>
  <dataValidations count="1">
    <dataValidation sqref="B3" showErrorMessage="1" showInputMessage="1" allowBlank="0" type="list">
      <formula1>"WM-001,WM-002,WM-003,WM-004,WM-005,WM-006,WM-007,WM-008,WM-009,WM-010"</formula1>
    </dataValidation>
  </dataValidation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0" customWidth="1" min="1" max="1"/>
    <col width="22" customWidth="1" min="2" max="2"/>
    <col width="22" customWidth="1" min="3" max="3"/>
    <col width="22" customWidth="1" min="4" max="4"/>
    <col width="22" customWidth="1" min="5" max="5"/>
    <col width="22" customWidth="1" min="6" max="6"/>
  </cols>
  <sheetData>
    <row r="1" ht="30" customHeight="1">
      <c r="A1" s="1" t="inlineStr">
        <is>
          <t>Briefvorlage – Dokumentation der Wertminderung einer Immobilie</t>
        </is>
      </c>
    </row>
    <row r="2"/>
    <row r="3">
      <c r="A3" s="16" t="inlineStr">
        <is>
          <t>Fall-ID auswählen:</t>
        </is>
      </c>
      <c r="B3" s="17" t="inlineStr">
        <is>
          <t>WM-001</t>
        </is>
      </c>
    </row>
    <row r="4"/>
    <row r="5" ht="48" customHeight="1">
      <c r="A5" s="30" t="inlineStr">
        <is>
          <t>Absender</t>
        </is>
      </c>
      <c r="B5" s="31" t="inlineStr">
        <is>
          <t>Musterverwaltung GmbH
Beispielstraße 10
10115 Berlin</t>
        </is>
      </c>
    </row>
    <row r="6">
      <c r="A6" s="30" t="inlineStr">
        <is>
          <t>Empfänger/Eigentümer</t>
        </is>
      </c>
      <c r="B6" s="32">
        <f>IFERROR(VLOOKUP($B$3,Wertminderungsfälle!$A$2:$S$11,3,FALSE),"")</f>
        <v/>
      </c>
    </row>
    <row r="7">
      <c r="A7" s="30" t="inlineStr">
        <is>
          <t>Datum</t>
        </is>
      </c>
      <c r="B7" s="32">
        <f>TEXT(TODAY(),"DD.MM.YYYY")</f>
        <v/>
      </c>
    </row>
    <row r="8">
      <c r="A8" s="30" t="inlineStr">
        <is>
          <t>Betreff</t>
        </is>
      </c>
      <c r="B8" s="32">
        <f>"Dokumentation der Wertminderung der Immobilie "&amp;IFERROR(VLOOKUP($B$3,Wertminderungsfälle!$A$2:$S$11,7,FALSE),"")</f>
        <v/>
      </c>
    </row>
    <row r="9">
      <c r="A9" s="30" t="inlineStr">
        <is>
          <t>Adresse</t>
        </is>
      </c>
      <c r="B9" s="32">
        <f>IFERROR(VLOOKUP($B$3,Wertminderungsfälle!$A$2:$S$11,7,FALSE),"")</f>
        <v/>
      </c>
    </row>
    <row r="10">
      <c r="A10" s="30" t="inlineStr">
        <is>
          <t>Stadt</t>
        </is>
      </c>
      <c r="B10" s="32">
        <f>IFERROR(VLOOKUP($B$3,Wertminderungsfälle!$A$2:$S$11,5,FALSE),"")</f>
        <v/>
      </c>
    </row>
    <row r="11">
      <c r="A11" s="30" t="inlineStr">
        <is>
          <t>Objektart</t>
        </is>
      </c>
      <c r="B11" s="32">
        <f>IFERROR(VLOOKUP($B$3,Wertminderungsfälle!$A$2:$S$11,6,FALSE),"")</f>
        <v/>
      </c>
    </row>
    <row r="12">
      <c r="A12" s="30" t="inlineStr">
        <is>
          <t>Wohn-/Nutzfläche (m²)</t>
        </is>
      </c>
      <c r="B12" s="47">
        <f>IFERROR(VLOOKUP($B$3,Wertminderungsfälle!$A$2:$S$11,8,FALSE),0)</f>
        <v/>
      </c>
    </row>
    <row r="13">
      <c r="A13" s="30" t="inlineStr">
        <is>
          <t>Ursprünglicher Verkehrswert</t>
        </is>
      </c>
      <c r="B13" s="48">
        <f>IFERROR(VLOOKUP($B$3,Wertminderungsfälle!$A$2:$S$11,9,FALSE),0)</f>
        <v/>
      </c>
    </row>
    <row r="14">
      <c r="A14" s="30" t="inlineStr">
        <is>
          <t>Festgestellter Wertminderungsgrund</t>
        </is>
      </c>
      <c r="B14" s="32">
        <f>IFERROR(VLOOKUP($B$3,Wertminderungsfälle!$A$2:$S$11,10,FALSE),"")</f>
        <v/>
      </c>
    </row>
    <row r="15">
      <c r="A15" s="30" t="inlineStr">
        <is>
          <t>Reparaturkosten</t>
        </is>
      </c>
      <c r="B15" s="48">
        <f>IFERROR(VLOOKUP($B$3,Wertminderungsfälle!$A$2:$S$11,12,FALSE),0)</f>
        <v/>
      </c>
    </row>
    <row r="16">
      <c r="A16" s="30" t="inlineStr">
        <is>
          <t>Marktabschlag</t>
        </is>
      </c>
      <c r="B16" s="35">
        <f>IFERROR(VLOOKUP($B$3,Wertminderungsfälle!$A$2:$S$11,13,FALSE),0)</f>
        <v/>
      </c>
    </row>
    <row r="17">
      <c r="A17" s="30" t="inlineStr">
        <is>
          <t>Berechnete Wertminderung</t>
        </is>
      </c>
      <c r="B17" s="48">
        <f>IFERROR(VLOOKUP($B$3,Wertminderungsfälle!$A$2:$S$11,14,FALSE),0)</f>
        <v/>
      </c>
    </row>
    <row r="18">
      <c r="A18" s="30" t="inlineStr">
        <is>
          <t>Verbleibender Restwert</t>
        </is>
      </c>
      <c r="B18" s="48">
        <f>IFERROR(VLOOKUP($B$3,Wertminderungsfälle!$A$2:$S$11,15,FALSE),0)</f>
        <v/>
      </c>
    </row>
    <row r="19"/>
    <row r="20">
      <c r="A20" s="16" t="inlineStr">
        <is>
          <t>Brieftext</t>
        </is>
      </c>
    </row>
    <row r="21">
      <c r="A21" s="31" t="inlineStr">
        <is>
          <t>Sehr geehrte Damen und Herren,
wir informieren Sie hiermit über die vorläufige Einschätzung der Wertminderung der oben genannten Immobilie. Aufgrund des festgestellten Wertminderungsgrundes wurde unter Berücksichtigung der geschätzten Reparaturkosten sowie eines marktüblichen Abschlags eine Wertminderung ermittelt. Es handelt sich um eine vorläufige Einschätzung, die keine sachverständige Verkehrswertermittlung nach § 194 BauGB i. V. m. §§ 194, 195 BGB ersetzt. Wir empfehlen, die Wertermittlung durch einen öffentlich bestellten und vereidigten Sachverständigen prüfen zu lassen. Bei Wohnungseigentum werden gegebenenfalls die WEG-Unterlagen sowie die Bauunterlagen (Genehmigungsplanung, Baubeschreibung, Instandhaltungsrücklage) herangezogen.
Mit freundlichen Grüßen
_______________________________
Musterverwaltung GmbH – Geschäftsführung</t>
        </is>
      </c>
    </row>
    <row r="22"/>
    <row r="23"/>
    <row r="24"/>
    <row r="25"/>
    <row r="26"/>
  </sheetData>
  <mergeCells count="16">
    <mergeCell ref="A1:F1"/>
    <mergeCell ref="B5:F5"/>
    <mergeCell ref="B6:F6"/>
    <mergeCell ref="B7:F7"/>
    <mergeCell ref="B8:F8"/>
    <mergeCell ref="B9:F9"/>
    <mergeCell ref="B10:F10"/>
    <mergeCell ref="B11:F11"/>
    <mergeCell ref="B12:F12"/>
    <mergeCell ref="B13:F13"/>
    <mergeCell ref="B14:F14"/>
    <mergeCell ref="B15:F15"/>
    <mergeCell ref="B16:F16"/>
    <mergeCell ref="B17:F17"/>
    <mergeCell ref="B18:F18"/>
    <mergeCell ref="A21:F26"/>
  </mergeCells>
  <dataValidations count="1">
    <dataValidation sqref="B3" showErrorMessage="1" showInputMessage="1" allowBlank="0" type="list">
      <formula1>"WM-001,WM-002,WM-003,WM-004,WM-005,WM-006,WM-007,WM-008,WM-009,WM-010"</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26" customWidth="1" min="1" max="1"/>
    <col width="26" customWidth="1" min="2" max="2"/>
    <col width="26" customWidth="1" min="3" max="3"/>
    <col width="26" customWidth="1" min="4" max="4"/>
  </cols>
  <sheetData>
    <row r="1" ht="28" customHeight="1">
      <c r="A1" s="1" t="inlineStr">
        <is>
          <t>Hinweise zur Arbeitsmappe</t>
        </is>
      </c>
    </row>
    <row r="2"/>
    <row r="3">
      <c r="A3" s="16" t="inlineStr">
        <is>
          <t>Wertminderungsfälle</t>
        </is>
      </c>
    </row>
    <row r="4" ht="70" customHeight="1">
      <c r="A4" s="36" t="inlineStr">
        <is>
          <t>Haupttabelle mit 10 Beispielfällen. Gelbe Zellen sind Eingabefelder. Die Wertminderung (Spalte N) berechnet sich aus Verkehrswert × (Schadensgrad + Marktabschlag), der Restwert (Spalte O) als Verkehrswert minus Wertminderung. Der Status (Spalte P) wird automatisch eingestuft (gering bis 20.000 €, mittel bis 50.000 €, hoch darüber). Unterhalb der Tabelle befinden sich Summen- und Statistikformeln.</t>
        </is>
      </c>
    </row>
    <row r="5"/>
    <row r="6">
      <c r="A6" s="16" t="inlineStr">
        <is>
          <t>Auswertung</t>
        </is>
      </c>
    </row>
    <row r="7" ht="70" customHeight="1">
      <c r="A7" s="36" t="inlineStr">
        <is>
          <t>Dashboard mit Kennzahlen (Anzahl Fälle, durchschnittlicher Verkehrswert, Gesamtwertminderung, durchschnittliche Wertminderung in %). In Zelle B3 kann eine Fall-ID ausgewählt werden; Eigentümer, Stadt und Wertminderung werden per SVERWEIS automatisch befüllt. Drei Diagramme visualisieren die Wertminderung je Fall, nach Grund und die Statusverteilung.</t>
        </is>
      </c>
    </row>
    <row r="8"/>
    <row r="9">
      <c r="A9" s="16" t="inlineStr">
        <is>
          <t>Briefvorlage</t>
        </is>
      </c>
    </row>
    <row r="10" ht="70" customHeight="1">
      <c r="A10" s="36" t="inlineStr">
        <is>
          <t>Druckfreundliche Briefvorlage. In Zelle B3 wird die Fall-ID gewählt; alle Objekt- und Wertangaben werden automatisch aus der Haupttabelle übernommen (hellblau). Absender und Brieftext (hellgelb) können manuell angepasst werden. Der Brief enthält Hinweise auf die vorläufige Einschätzung, BGB-Bezug und empfohlene sachverständige Prüfung.</t>
        </is>
      </c>
    </row>
    <row r="11"/>
    <row r="12">
      <c r="A12" s="16" t="inlineStr">
        <is>
          <t>Allgemein</t>
        </is>
      </c>
    </row>
    <row r="13" ht="70" customHeight="1">
      <c r="A13" s="36" t="inlineStr">
        <is>
          <t>Alle Formeln nutzen englische Funktionsnamen mit Komma als Trennzeichen – Excel zeigt diese automatisch lokalisiert an. Datumsformat TT.MM.JJJJ, Währung 1.234,56 €, Prozente 0,00 %. Diese Arbeitsmappe dient als Arbeitshilfe und ersetzt keine sachverständige Verkehrswertermittlung.</t>
        </is>
      </c>
    </row>
  </sheetData>
  <mergeCells count="5">
    <mergeCell ref="A1:D1"/>
    <mergeCell ref="A4:D4"/>
    <mergeCell ref="A7:D7"/>
    <mergeCell ref="A10:D10"/>
    <mergeCell ref="A13:D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2026-08-01T17:30:27Z</dcterms:created>
  <dcterms:modified xmlns:dcterms="http://purl.org/dc/terms/" xmlns:xsi="http://www.w3.org/2001/XMLSchema-instance" xsi:type="dcterms:W3CDTF">2026-08-01T17:30:27Z</dcterms:modified>
</cp:coreProperties>
</file>