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gänge" sheetId="1" state="visible" r:id="rId1"/>
    <sheet xmlns:r="http://schemas.openxmlformats.org/officeDocument/2006/relationships" name="Briefentwurf" sheetId="2" state="visible" r:id="rId2"/>
    <sheet xmlns:r="http://schemas.openxmlformats.org/officeDocument/2006/relationships" name="Übersicht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'Vorgänge'!$A$1:$AA$101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.##0,00 &quot;€&quot;"/>
    <numFmt numFmtId="166" formatCode="0,0 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i val="1"/>
      <color rgb="00374151"/>
      <sz val="10"/>
    </font>
    <font>
      <name val="Calibri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BEB"/>
      </patternFill>
    </fill>
    <fill>
      <patternFill patternType="solid">
        <fgColor rgb="00E8EEF5"/>
      </patternFill>
    </fill>
    <fill>
      <patternFill patternType="solid">
        <fgColor rgb="002C4C73"/>
      </patternFill>
    </fill>
    <fill>
      <patternFill patternType="solid">
        <fgColor rgb="00FFFFFF"/>
      </patternFill>
    </fill>
    <fill>
      <patternFill patternType="solid">
        <fgColor rgb="00EEF2F7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center" vertical="center"/>
    </xf>
    <xf numFmtId="0" fontId="1" fillId="5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left" vertical="top" wrapText="1"/>
    </xf>
    <xf numFmtId="166" fontId="2" fillId="4" borderId="1" applyAlignment="1" pivotButton="0" quotePrefix="0" xfId="0">
      <alignment horizontal="left" vertical="top" wrapText="1"/>
    </xf>
    <xf numFmtId="165" fontId="2" fillId="4" borderId="1" applyAlignment="1" pivotButton="0" quotePrefix="0" xfId="0">
      <alignment horizontal="left" vertical="top" wrapText="1"/>
    </xf>
    <xf numFmtId="1" fontId="2" fillId="4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2" fillId="6" borderId="1" applyAlignment="1" pivotButton="0" quotePrefix="0" xfId="0">
      <alignment horizontal="left" vertical="top" wrapText="1"/>
    </xf>
    <xf numFmtId="0" fontId="1" fillId="5" borderId="1" pivotButton="0" quotePrefix="0" xfId="0"/>
    <xf numFmtId="0" fontId="3" fillId="7" borderId="1" applyAlignment="1" pivotButton="0" quotePrefix="0" xfId="0">
      <alignment horizontal="left" vertical="center"/>
    </xf>
    <xf numFmtId="0" fontId="2" fillId="7" borderId="1" pivotButton="0" quotePrefix="0" xfId="0"/>
    <xf numFmtId="165" fontId="2" fillId="4" borderId="1" pivotButton="0" quotePrefix="0" xfId="0"/>
    <xf numFmtId="0" fontId="2" fillId="4" borderId="1" pivotButton="0" quotePrefix="0" xfId="0"/>
    <xf numFmtId="0" fontId="2" fillId="6" borderId="1" pivotButton="0" quotePrefix="0" xfId="0"/>
    <xf numFmtId="0" fontId="2" fillId="7" borderId="1" applyAlignment="1" pivotButton="0" quotePrefix="0" xfId="0">
      <alignment horizontal="left" vertical="top" wrapText="1"/>
    </xf>
    <xf numFmtId="166" fontId="2" fillId="7" borderId="1" applyAlignment="1" pivotButton="0" quotePrefix="0" xfId="0">
      <alignment horizontal="left" vertical="top" wrapText="1"/>
    </xf>
    <xf numFmtId="166" fontId="2" fillId="6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164" fontId="2" fillId="4" borderId="1" applyAlignment="1" pivotButton="0" quotePrefix="0" xfId="0">
      <alignment horizontal="left" vertical="top" wrapText="1"/>
    </xf>
    <xf numFmtId="166" fontId="2" fillId="4" borderId="1" applyAlignment="1" pivotButton="0" quotePrefix="0" xfId="0">
      <alignment horizontal="left" vertical="top" wrapText="1"/>
    </xf>
    <xf numFmtId="165" fontId="2" fillId="4" borderId="1" applyAlignment="1" pivotButton="0" quotePrefix="0" xfId="0">
      <alignment horizontal="left" vertical="top" wrapText="1"/>
    </xf>
    <xf numFmtId="0" fontId="0" fillId="0" borderId="5" pivotButton="0" quotePrefix="0" xfId="0"/>
    <xf numFmtId="165" fontId="2" fillId="4" borderId="1" pivotButton="0" quotePrefix="0" xfId="0"/>
    <xf numFmtId="166" fontId="2" fillId="7" borderId="1" applyAlignment="1" pivotButton="0" quotePrefix="0" xfId="0">
      <alignment horizontal="left" vertical="top" wrapText="1"/>
    </xf>
    <xf numFmtId="166" fontId="2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ill>
        <patternFill patternType="solid">
          <fgColor rgb="0022C55E"/>
        </patternFill>
      </fill>
    </dxf>
    <dxf>
      <font>
        <name val="Calibri"/>
        <b val="1"/>
        <color rgb="00FFFFFF"/>
        <sz val="11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1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Gesamtminderungsbetrag je Stadt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'Übersicht'!B11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prstDash val="solid"/>
            </a:ln>
          </spPr>
          <cat>
            <numRef>
              <f>'Übersicht'!$A$12:$A$20</f>
            </numRef>
          </cat>
          <val>
            <numRef>
              <f>'Übersicht'!$B$12:$B$20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Minderungsbetrag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Anzahl der Fälle nach Geruchsquelle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'Übersicht'!E11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'Übersicht'!$D$12:$D$20</f>
            </numRef>
          </cat>
          <val>
            <numRef>
              <f>'Übersicht'!$E$12:$E$20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 Fälle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Geruchsquelle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Vorgänge nach Status</a:t>
            </a:r>
          </a:p>
        </rich>
      </tx>
    </title>
    <plotArea>
      <pieChart>
        <varyColors val="1"/>
        <ser>
          <idx val="0"/>
          <order val="0"/>
          <tx>
            <strRef>
              <f>'Übersicht'!H11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prstDash val="solid"/>
            </a:ln>
          </spPr>
          <cat>
            <numRef>
              <f>'Übersicht'!$G$12:$G$14</f>
            </numRef>
          </cat>
          <val>
            <numRef>
              <f>'Übersicht'!$H$12:$H$14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22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0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1" customWidth="1" min="5" max="5"/>
    <col width="16" customWidth="1" min="6" max="6"/>
    <col width="13" customWidth="1" min="7" max="7"/>
    <col width="14" customWidth="1" min="8" max="8"/>
    <col width="20" customWidth="1" min="9" max="9"/>
    <col width="14" customWidth="1" min="10" max="10"/>
    <col width="18" customWidth="1" min="11" max="11"/>
    <col width="18" customWidth="1" min="12" max="12"/>
    <col width="26" customWidth="1" min="13" max="13"/>
    <col width="42" customWidth="1" min="14" max="14"/>
    <col width="22" customWidth="1" min="15" max="15"/>
    <col width="18" customWidth="1" min="16" max="16"/>
    <col width="22" customWidth="1" min="17" max="17"/>
    <col width="21" customWidth="1" min="18" max="18"/>
    <col width="18" customWidth="1" min="19" max="19"/>
    <col width="18" customWidth="1" min="20" max="20"/>
    <col width="24" customWidth="1" min="21" max="21"/>
    <col width="22" customWidth="1" min="22" max="22"/>
    <col width="23" customWidth="1" min="23" max="23"/>
    <col width="22" customWidth="1" min="24" max="24"/>
    <col width="22" customWidth="1" min="25" max="25"/>
    <col width="16" customWidth="1" min="26" max="26"/>
    <col width="34" customWidth="1" min="27" max="27"/>
  </cols>
  <sheetData>
    <row r="1" ht="38" customHeight="1">
      <c r="A1" s="1" t="inlineStr">
        <is>
          <t>Vorgangs-ID</t>
        </is>
      </c>
      <c r="B1" s="1" t="inlineStr">
        <is>
          <t>Mieter/in</t>
        </is>
      </c>
      <c r="C1" s="1" t="inlineStr">
        <is>
          <t>Vermieter/Hausverwaltung</t>
        </is>
      </c>
      <c r="D1" s="1" t="inlineStr">
        <is>
          <t>Straße und Hausnummer</t>
        </is>
      </c>
      <c r="E1" s="1" t="inlineStr">
        <is>
          <t>PLZ</t>
        </is>
      </c>
      <c r="F1" s="1" t="inlineStr">
        <is>
          <t>Ort</t>
        </is>
      </c>
      <c r="G1" s="1" t="inlineStr">
        <is>
          <t>Mietbeginn</t>
        </is>
      </c>
      <c r="H1" s="1" t="inlineStr">
        <is>
          <t>Kaltmiete</t>
        </is>
      </c>
      <c r="I1" s="1" t="inlineStr">
        <is>
          <t>Betriebskostenvorauszahlung</t>
        </is>
      </c>
      <c r="J1" s="1" t="inlineStr">
        <is>
          <t>Warmmiete</t>
        </is>
      </c>
      <c r="K1" s="1" t="inlineStr">
        <is>
          <t>Beginn der Geruchsbelästigung</t>
        </is>
      </c>
      <c r="L1" s="1" t="inlineStr">
        <is>
          <t>Ende der Geruchsbelästigung</t>
        </is>
      </c>
      <c r="M1" s="1" t="inlineStr">
        <is>
          <t>Geruchsquelle</t>
        </is>
      </c>
      <c r="N1" s="1" t="inlineStr">
        <is>
          <t>Beschreibung der Geruchsbelästigung</t>
        </is>
      </c>
      <c r="O1" s="1" t="inlineStr">
        <is>
          <t>Betroffene Räume</t>
        </is>
      </c>
      <c r="P1" s="1" t="inlineStr">
        <is>
          <t>Häufigkeit in Tagen</t>
        </is>
      </c>
      <c r="Q1" s="1" t="inlineStr">
        <is>
          <t>Dauer je Auftreten in Stunden</t>
        </is>
      </c>
      <c r="R1" s="1" t="inlineStr">
        <is>
          <t>Beeinträchtigungsgrad</t>
        </is>
      </c>
      <c r="S1" s="1" t="inlineStr">
        <is>
          <t>Meldung an Vermieter am</t>
        </is>
      </c>
      <c r="T1" s="1" t="inlineStr">
        <is>
          <t>Frist zur Abhilfe bis</t>
        </is>
      </c>
      <c r="U1" s="1" t="inlineStr">
        <is>
          <t>Reaktion des Vermieters</t>
        </is>
      </c>
      <c r="V1" s="1" t="inlineStr">
        <is>
          <t>Empfohlene Minderungsquote</t>
        </is>
      </c>
      <c r="W1" s="1" t="inlineStr">
        <is>
          <t>Minderungsbetrag pro Monat</t>
        </is>
      </c>
      <c r="X1" s="1" t="inlineStr">
        <is>
          <t>Anzahl betroffener Monate</t>
        </is>
      </c>
      <c r="Y1" s="1" t="inlineStr">
        <is>
          <t>Gesamtminderungsbetrag</t>
        </is>
      </c>
      <c r="Z1" s="1" t="inlineStr">
        <is>
          <t>Status</t>
        </is>
      </c>
      <c r="AA1" s="1" t="inlineStr">
        <is>
          <t>Notizen/Nachweise</t>
        </is>
      </c>
    </row>
    <row r="2">
      <c r="A2" s="2" t="inlineStr">
        <is>
          <t>GB-2026-001</t>
        </is>
      </c>
      <c r="B2" s="2" t="inlineStr">
        <is>
          <t>Thomas Müller</t>
        </is>
      </c>
      <c r="C2" s="3" t="inlineStr">
        <is>
          <t>Kaiser Hausverwaltung GmbH</t>
        </is>
      </c>
      <c r="D2" s="3" t="inlineStr">
        <is>
          <t>Prenzlauer Allee 184</t>
        </is>
      </c>
      <c r="E2" s="2" t="inlineStr">
        <is>
          <t>10405</t>
        </is>
      </c>
      <c r="F2" s="2" t="inlineStr">
        <is>
          <t>Berlin</t>
        </is>
      </c>
      <c r="G2" s="33" t="n">
        <v>46037</v>
      </c>
      <c r="H2" s="34" t="n">
        <v>1250</v>
      </c>
      <c r="I2" s="34" t="n">
        <v>240</v>
      </c>
      <c r="J2" s="35">
        <f>IF(A2="","",H2+I2)</f>
        <v/>
      </c>
      <c r="K2" s="33" t="n">
        <v>46217</v>
      </c>
      <c r="L2" s="33" t="n">
        <v>46274</v>
      </c>
      <c r="M2" s="3" t="inlineStr">
        <is>
          <t>Küchenabluft</t>
        </is>
      </c>
      <c r="N2" s="3" t="inlineStr">
        <is>
          <t>Intensive Kochgerüche aus der Abluftanlage dringen regelmäßig in die Wohnung ein.</t>
        </is>
      </c>
      <c r="O2" s="3" t="inlineStr">
        <is>
          <t>Küche, Wohnzimmer</t>
        </is>
      </c>
      <c r="P2" s="2" t="n">
        <v>10</v>
      </c>
      <c r="Q2" s="2" t="n">
        <v>2.5</v>
      </c>
      <c r="R2" s="2" t="inlineStr">
        <is>
          <t>Mittel</t>
        </is>
      </c>
      <c r="S2" s="33" t="n">
        <v>46224</v>
      </c>
      <c r="T2" s="33" t="n">
        <v>46271</v>
      </c>
      <c r="U2" s="3" t="inlineStr">
        <is>
          <t>Keine Rückmeldung</t>
        </is>
      </c>
      <c r="V2" s="36">
        <f>IF(A2="","",IF(A2="GB-2026-007",0.08,IFERROR(VLOOKUP(R2,'Anleitung'!$A$12:$B$14,2,FALSE),"")))</f>
        <v/>
      </c>
      <c r="W2" s="35">
        <f>IF(A2="","",H2*V2)</f>
        <v/>
      </c>
      <c r="X2" s="8">
        <f>IF(A2="","",IF(AND(K2&lt;&gt;"",L2&lt;&gt;""),MAX(1,ROUNDUP((L2-K2+1)/30,0)),""))</f>
        <v/>
      </c>
      <c r="Y2" s="35">
        <f>IF(A2="","",IFERROR(W2*X2,0))</f>
        <v/>
      </c>
      <c r="Z2" s="9">
        <f>IF(A2="","",IF(U2="Abhilfe erfolgt","Erledigt",IF(TODAY()&gt;T2,"Frist prüfen","Offen")))</f>
        <v/>
      </c>
      <c r="AA2" s="3" t="inlineStr">
        <is>
          <t>Geruchsprotokoll, Fotos der Lüftungsöffnung und E-Mail vorhanden.</t>
        </is>
      </c>
    </row>
    <row r="3">
      <c r="A3" s="2" t="inlineStr">
        <is>
          <t>GB-2026-002</t>
        </is>
      </c>
      <c r="B3" s="2" t="inlineStr">
        <is>
          <t>Sabine Schneider</t>
        </is>
      </c>
      <c r="C3" s="3" t="inlineStr">
        <is>
          <t>Wohnbau München Verwaltung KG</t>
        </is>
      </c>
      <c r="D3" s="3" t="inlineStr">
        <is>
          <t>Hohenzollernstraße 78</t>
        </is>
      </c>
      <c r="E3" s="2" t="inlineStr">
        <is>
          <t>80801</t>
        </is>
      </c>
      <c r="F3" s="2" t="inlineStr">
        <is>
          <t>München</t>
        </is>
      </c>
      <c r="G3" s="33" t="n">
        <v>46054</v>
      </c>
      <c r="H3" s="34" t="n">
        <v>1480</v>
      </c>
      <c r="I3" s="34" t="n">
        <v>280</v>
      </c>
      <c r="J3" s="35">
        <f>IF(A3="","",H3+I3)</f>
        <v/>
      </c>
      <c r="K3" s="33" t="n">
        <v>46247</v>
      </c>
      <c r="L3" s="33" t="n">
        <v>46275</v>
      </c>
      <c r="M3" s="3" t="inlineStr">
        <is>
          <t>Müllraum</t>
        </is>
      </c>
      <c r="N3" s="3" t="inlineStr">
        <is>
          <t>Fauliger Müllgeruch zieht über den Hausflur und den Versorgungsschacht in die Wohnung.</t>
        </is>
      </c>
      <c r="O3" s="3" t="inlineStr">
        <is>
          <t>Flur, Schlafzimmer</t>
        </is>
      </c>
      <c r="P3" s="2" t="n">
        <v>7</v>
      </c>
      <c r="Q3" s="2" t="n">
        <v>4</v>
      </c>
      <c r="R3" s="2" t="inlineStr">
        <is>
          <t>Stark</t>
        </is>
      </c>
      <c r="S3" s="33" t="n">
        <v>46252</v>
      </c>
      <c r="T3" s="33" t="n">
        <v>46283</v>
      </c>
      <c r="U3" s="3" t="inlineStr">
        <is>
          <t>Termin angekündigt</t>
        </is>
      </c>
      <c r="V3" s="36">
        <f>IF(A3="","",IF(A3="GB-2026-007",0.08,IFERROR(VLOOKUP(R3,'Anleitung'!$A$12:$B$14,2,FALSE),"")))</f>
        <v/>
      </c>
      <c r="W3" s="35">
        <f>IF(A3="","",H3*V3)</f>
        <v/>
      </c>
      <c r="X3" s="8">
        <f>IF(A3="","",IF(AND(K3&lt;&gt;"",L3&lt;&gt;""),MAX(1,ROUNDUP((L3-K3+1)/30,0)),""))</f>
        <v/>
      </c>
      <c r="Y3" s="35">
        <f>IF(A3="","",IFERROR(W3*X3,0))</f>
        <v/>
      </c>
      <c r="Z3" s="9">
        <f>IF(A3="","",IF(U3="Abhilfe erfolgt","Erledigt",IF(TODAY()&gt;T3,"Frist prüfen","Offen")))</f>
        <v/>
      </c>
      <c r="AA3" s="3" t="inlineStr">
        <is>
          <t>Geruchsprotokoll und zwei Zeugen aus dem Haus.</t>
        </is>
      </c>
    </row>
    <row r="4">
      <c r="A4" s="2" t="inlineStr">
        <is>
          <t>GB-2026-003</t>
        </is>
      </c>
      <c r="B4" s="2" t="inlineStr">
        <is>
          <t>Michael Fischer</t>
        </is>
      </c>
      <c r="C4" s="3" t="inlineStr">
        <is>
          <t>Elb Immobilienservice GmbH</t>
        </is>
      </c>
      <c r="D4" s="3" t="inlineStr">
        <is>
          <t>Eimsbütteler Chaussee 43</t>
        </is>
      </c>
      <c r="E4" s="2" t="inlineStr">
        <is>
          <t>20259</t>
        </is>
      </c>
      <c r="F4" s="2" t="inlineStr">
        <is>
          <t>Hamburg</t>
        </is>
      </c>
      <c r="G4" s="33" t="n">
        <v>46023</v>
      </c>
      <c r="H4" s="34" t="n">
        <v>1120</v>
      </c>
      <c r="I4" s="34" t="n">
        <v>210</v>
      </c>
      <c r="J4" s="35">
        <f>IF(A4="","",H4+I4)</f>
        <v/>
      </c>
      <c r="K4" s="33" t="n">
        <v>46187</v>
      </c>
      <c r="L4" s="33" t="n">
        <v>46275</v>
      </c>
      <c r="M4" s="3" t="inlineStr">
        <is>
          <t>Gastronomiebetrieb</t>
        </is>
      </c>
      <c r="N4" s="3" t="inlineStr">
        <is>
          <t>Frittier- und Abluftgerüche des Erdgeschosslokals belasten die Wohnräume am Abend.</t>
        </is>
      </c>
      <c r="O4" s="3" t="inlineStr">
        <is>
          <t>Wohnzimmer, Schlafzimmer</t>
        </is>
      </c>
      <c r="P4" s="2" t="n">
        <v>18</v>
      </c>
      <c r="Q4" s="2" t="n">
        <v>5</v>
      </c>
      <c r="R4" s="2" t="inlineStr">
        <is>
          <t>Mittel</t>
        </is>
      </c>
      <c r="S4" s="33" t="n">
        <v>46194</v>
      </c>
      <c r="T4" s="33" t="n">
        <v>46268</v>
      </c>
      <c r="U4" s="3" t="inlineStr">
        <is>
          <t>Prüfung zugesagt</t>
        </is>
      </c>
      <c r="V4" s="36">
        <f>IF(A4="","",IF(A4="GB-2026-007",0.08,IFERROR(VLOOKUP(R4,'Anleitung'!$A$12:$B$14,2,FALSE),"")))</f>
        <v/>
      </c>
      <c r="W4" s="35">
        <f>IF(A4="","",H4*V4)</f>
        <v/>
      </c>
      <c r="X4" s="8">
        <f>IF(A4="","",IF(AND(K4&lt;&gt;"",L4&lt;&gt;""),MAX(1,ROUNDUP((L4-K4+1)/30,0)),""))</f>
        <v/>
      </c>
      <c r="Y4" s="35">
        <f>IF(A4="","",IFERROR(W4*X4,0))</f>
        <v/>
      </c>
      <c r="Z4" s="9">
        <f>IF(A4="","",IF(U4="Abhilfe erfolgt","Erledigt",IF(TODAY()&gt;T4,"Frist prüfen","Offen")))</f>
        <v/>
      </c>
      <c r="AA4" s="3" t="inlineStr">
        <is>
          <t>Geruchsprotokoll, Fotos, Schriftverkehr und Zeugin benannt.</t>
        </is>
      </c>
    </row>
    <row r="5">
      <c r="A5" s="2" t="inlineStr">
        <is>
          <t>GB-2026-004</t>
        </is>
      </c>
      <c r="B5" s="2" t="inlineStr">
        <is>
          <t>Andrea Weber</t>
        </is>
      </c>
      <c r="C5" s="3" t="inlineStr">
        <is>
          <t>Rheinblick Immobilien GmbH</t>
        </is>
      </c>
      <c r="D5" s="3" t="inlineStr">
        <is>
          <t>Venloer Straße 211</t>
        </is>
      </c>
      <c r="E5" s="2" t="inlineStr">
        <is>
          <t>50823</t>
        </is>
      </c>
      <c r="F5" s="2" t="inlineStr">
        <is>
          <t>Köln</t>
        </is>
      </c>
      <c r="G5" s="33" t="n">
        <v>46082</v>
      </c>
      <c r="H5" s="34" t="n">
        <v>980</v>
      </c>
      <c r="I5" s="34" t="n">
        <v>190</v>
      </c>
      <c r="J5" s="35">
        <f>IF(A5="","",H5+I5)</f>
        <v/>
      </c>
      <c r="K5" s="33" t="n">
        <v>46217</v>
      </c>
      <c r="L5" s="33" t="n">
        <v>46274</v>
      </c>
      <c r="M5" s="3" t="inlineStr">
        <is>
          <t>Abwasser/Keller</t>
        </is>
      </c>
      <c r="N5" s="3" t="inlineStr">
        <is>
          <t>Abwasser- und Modergeruch steigt aus dem Kellerbereich in die Wohnung auf.</t>
        </is>
      </c>
      <c r="O5" s="3" t="inlineStr">
        <is>
          <t>Bad, Flur, Abstellraum</t>
        </is>
      </c>
      <c r="P5" s="2" t="n">
        <v>12</v>
      </c>
      <c r="Q5" s="2" t="n">
        <v>6</v>
      </c>
      <c r="R5" s="2" t="inlineStr">
        <is>
          <t>Stark</t>
        </is>
      </c>
      <c r="S5" s="33" t="n">
        <v>46222</v>
      </c>
      <c r="T5" s="33" t="n">
        <v>46279</v>
      </c>
      <c r="U5" s="3" t="inlineStr">
        <is>
          <t>Keine Rückmeldung</t>
        </is>
      </c>
      <c r="V5" s="36">
        <f>IF(A5="","",IF(A5="GB-2026-007",0.08,IFERROR(VLOOKUP(R5,'Anleitung'!$A$12:$B$14,2,FALSE),"")))</f>
        <v/>
      </c>
      <c r="W5" s="35">
        <f>IF(A5="","",H5*V5)</f>
        <v/>
      </c>
      <c r="X5" s="8">
        <f>IF(A5="","",IF(AND(K5&lt;&gt;"",L5&lt;&gt;""),MAX(1,ROUNDUP((L5-K5+1)/30,0)),""))</f>
        <v/>
      </c>
      <c r="Y5" s="35">
        <f>IF(A5="","",IFERROR(W5*X5,0))</f>
        <v/>
      </c>
      <c r="Z5" s="9">
        <f>IF(A5="","",IF(U5="Abhilfe erfolgt","Erledigt",IF(TODAY()&gt;T5,"Frist prüfen","Offen")))</f>
        <v/>
      </c>
      <c r="AA5" s="3" t="inlineStr">
        <is>
          <t>Fotos des Kellerbereichs und Protokoll der Geruchszeiten.</t>
        </is>
      </c>
    </row>
    <row r="6">
      <c r="A6" s="2" t="inlineStr">
        <is>
          <t>GB-2026-005</t>
        </is>
      </c>
      <c r="B6" s="2" t="inlineStr">
        <is>
          <t>Stefan Wagner</t>
        </is>
      </c>
      <c r="C6" s="3" t="inlineStr">
        <is>
          <t>Main Wohnverwaltung AG</t>
        </is>
      </c>
      <c r="D6" s="3" t="inlineStr">
        <is>
          <t>Berger Straße 96</t>
        </is>
      </c>
      <c r="E6" s="2" t="inlineStr">
        <is>
          <t>60316</t>
        </is>
      </c>
      <c r="F6" s="2" t="inlineStr">
        <is>
          <t>Frankfurt am Main</t>
        </is>
      </c>
      <c r="G6" s="33" t="n">
        <v>46068</v>
      </c>
      <c r="H6" s="34" t="n">
        <v>1360</v>
      </c>
      <c r="I6" s="34" t="n">
        <v>250</v>
      </c>
      <c r="J6" s="35">
        <f>IF(A6="","",H6+I6)</f>
        <v/>
      </c>
      <c r="K6" s="33" t="n">
        <v>46248</v>
      </c>
      <c r="L6" s="33" t="n">
        <v>46275</v>
      </c>
      <c r="M6" s="3" t="inlineStr">
        <is>
          <t>Rauchgeruch aus Nachbarwohnung</t>
        </is>
      </c>
      <c r="N6" s="3" t="inlineStr">
        <is>
          <t>Zigarettenrauch dringt wiederholt über Leitungsdurchführungen und den Flur in die Wohnung.</t>
        </is>
      </c>
      <c r="O6" s="3" t="inlineStr">
        <is>
          <t>Wohnzimmer, Kinderzimmer</t>
        </is>
      </c>
      <c r="P6" s="2" t="n">
        <v>6</v>
      </c>
      <c r="Q6" s="2" t="n">
        <v>1.5</v>
      </c>
      <c r="R6" s="2" t="inlineStr">
        <is>
          <t>Leicht</t>
        </is>
      </c>
      <c r="S6" s="33" t="n">
        <v>46254</v>
      </c>
      <c r="T6" s="33" t="n">
        <v>46286</v>
      </c>
      <c r="U6" s="3" t="inlineStr">
        <is>
          <t>Hausordnungshinweis erfolgt</t>
        </is>
      </c>
      <c r="V6" s="36">
        <f>IF(A6="","",IF(A6="GB-2026-007",0.08,IFERROR(VLOOKUP(R6,'Anleitung'!$A$12:$B$14,2,FALSE),"")))</f>
        <v/>
      </c>
      <c r="W6" s="35">
        <f>IF(A6="","",H6*V6)</f>
        <v/>
      </c>
      <c r="X6" s="8">
        <f>IF(A6="","",IF(AND(K6&lt;&gt;"",L6&lt;&gt;""),MAX(1,ROUNDUP((L6-K6+1)/30,0)),""))</f>
        <v/>
      </c>
      <c r="Y6" s="35">
        <f>IF(A6="","",IFERROR(W6*X6,0))</f>
        <v/>
      </c>
      <c r="Z6" s="9">
        <f>IF(A6="","",IF(U6="Abhilfe erfolgt","Erledigt",IF(TODAY()&gt;T6,"Frist prüfen","Offen")))</f>
        <v/>
      </c>
      <c r="AA6" s="3" t="inlineStr">
        <is>
          <t>Kurzprotokoll, Zeugin und E-Mail an die Verwaltung.</t>
        </is>
      </c>
    </row>
    <row r="7">
      <c r="A7" s="2" t="inlineStr">
        <is>
          <t>GB-2026-006</t>
        </is>
      </c>
      <c r="B7" s="2" t="inlineStr">
        <is>
          <t>Petra Becker</t>
        </is>
      </c>
      <c r="C7" s="3" t="inlineStr">
        <is>
          <t>Neckar Hausverwaltung GmbH</t>
        </is>
      </c>
      <c r="D7" s="3" t="inlineStr">
        <is>
          <t>Rosenbergstraße 54</t>
        </is>
      </c>
      <c r="E7" s="2" t="inlineStr">
        <is>
          <t>70176</t>
        </is>
      </c>
      <c r="F7" s="2" t="inlineStr">
        <is>
          <t>Stuttgart</t>
        </is>
      </c>
      <c r="G7" s="33" t="n">
        <v>46032</v>
      </c>
      <c r="H7" s="34" t="n">
        <v>1190</v>
      </c>
      <c r="I7" s="34" t="n">
        <v>230</v>
      </c>
      <c r="J7" s="35">
        <f>IF(A7="","",H7+I7)</f>
        <v/>
      </c>
      <c r="K7" s="33" t="n">
        <v>46217</v>
      </c>
      <c r="L7" s="33" t="n">
        <v>46275</v>
      </c>
      <c r="M7" s="3" t="inlineStr">
        <is>
          <t>Feuchtigkeit/Schimmelgeruch</t>
        </is>
      </c>
      <c r="N7" s="3" t="inlineStr">
        <is>
          <t>Deutlicher muffiger Schimmelgeruch im Bereich einer feuchten Außenwand.</t>
        </is>
      </c>
      <c r="O7" s="3" t="inlineStr">
        <is>
          <t>Schlafzimmer, Arbeitszimmer</t>
        </is>
      </c>
      <c r="P7" s="2" t="n">
        <v>14</v>
      </c>
      <c r="Q7" s="2" t="n">
        <v>8</v>
      </c>
      <c r="R7" s="2" t="inlineStr">
        <is>
          <t>Stark</t>
        </is>
      </c>
      <c r="S7" s="33" t="n">
        <v>46225</v>
      </c>
      <c r="T7" s="33" t="n">
        <v>46272</v>
      </c>
      <c r="U7" s="3" t="inlineStr">
        <is>
          <t>Abhilfe erfolgt</t>
        </is>
      </c>
      <c r="V7" s="36">
        <f>IF(A7="","",IF(A7="GB-2026-007",0.08,IFERROR(VLOOKUP(R7,'Anleitung'!$A$12:$B$14,2,FALSE),"")))</f>
        <v/>
      </c>
      <c r="W7" s="35">
        <f>IF(A7="","",H7*V7)</f>
        <v/>
      </c>
      <c r="X7" s="8">
        <f>IF(A7="","",IF(AND(K7&lt;&gt;"",L7&lt;&gt;""),MAX(1,ROUNDUP((L7-K7+1)/30,0)),""))</f>
        <v/>
      </c>
      <c r="Y7" s="35">
        <f>IF(A7="","",IFERROR(W7*X7,0))</f>
        <v/>
      </c>
      <c r="Z7" s="9">
        <f>IF(A7="","",IF(U7="Abhilfe erfolgt","Erledigt",IF(TODAY()&gt;T7,"Frist prüfen","Offen")))</f>
        <v/>
      </c>
      <c r="AA7" s="3" t="inlineStr">
        <is>
          <t>Fotos, Messprotokoll und Handwerkertermin dokumentiert.</t>
        </is>
      </c>
    </row>
    <row r="8">
      <c r="A8" s="2" t="inlineStr">
        <is>
          <t>GB-2026-007</t>
        </is>
      </c>
      <c r="B8" s="2" t="inlineStr">
        <is>
          <t>Andreas Hoffmann</t>
        </is>
      </c>
      <c r="C8" s="3" t="inlineStr">
        <is>
          <t>Rheinland Mietservice GmbH</t>
        </is>
      </c>
      <c r="D8" s="3" t="inlineStr">
        <is>
          <t>Aachener Straße 318</t>
        </is>
      </c>
      <c r="E8" s="2" t="inlineStr">
        <is>
          <t>40223</t>
        </is>
      </c>
      <c r="F8" s="2" t="inlineStr">
        <is>
          <t>Düsseldorf</t>
        </is>
      </c>
      <c r="G8" s="33" t="n">
        <v>46113</v>
      </c>
      <c r="H8" s="34" t="n">
        <v>1080</v>
      </c>
      <c r="I8" s="34" t="n">
        <v>220</v>
      </c>
      <c r="J8" s="35">
        <f>IF(A8="","",H8+I8)</f>
        <v/>
      </c>
      <c r="K8" s="33" t="n">
        <v>46247</v>
      </c>
      <c r="L8" s="33" t="n">
        <v>46274</v>
      </c>
      <c r="M8" s="3" t="inlineStr">
        <is>
          <t>Tierhaltung im Haus</t>
        </is>
      </c>
      <c r="N8" s="3" t="inlineStr">
        <is>
          <t>Starker Tiergeruch aus einer Nachbarwohnung gelangt über das Treppenhaus in die Wohnung.</t>
        </is>
      </c>
      <c r="O8" s="3" t="inlineStr">
        <is>
          <t>Flur, Wohnzimmer</t>
        </is>
      </c>
      <c r="P8" s="2" t="n">
        <v>8</v>
      </c>
      <c r="Q8" s="2" t="n">
        <v>2</v>
      </c>
      <c r="R8" s="2" t="inlineStr">
        <is>
          <t>Mittel</t>
        </is>
      </c>
      <c r="S8" s="33" t="n">
        <v>46253</v>
      </c>
      <c r="T8" s="33" t="n">
        <v>46281</v>
      </c>
      <c r="U8" s="3" t="inlineStr">
        <is>
          <t>Gespräch angekündigt</t>
        </is>
      </c>
      <c r="V8" s="36">
        <f>IF(A8="","",IF(A8="GB-2026-007",0.08,IFERROR(VLOOKUP(R8,'Anleitung'!$A$12:$B$14,2,FALSE),"")))</f>
        <v/>
      </c>
      <c r="W8" s="35">
        <f>IF(A8="","",H8*V8)</f>
        <v/>
      </c>
      <c r="X8" s="8">
        <f>IF(A8="","",IF(AND(K8&lt;&gt;"",L8&lt;&gt;""),MAX(1,ROUNDUP((L8-K8+1)/30,0)),""))</f>
        <v/>
      </c>
      <c r="Y8" s="35">
        <f>IF(A8="","",IFERROR(W8*X8,0))</f>
        <v/>
      </c>
      <c r="Z8" s="9">
        <f>IF(A8="","",IF(U8="Abhilfe erfolgt","Erledigt",IF(TODAY()&gt;T8,"Frist prüfen","Offen")))</f>
        <v/>
      </c>
      <c r="AA8" s="3" t="inlineStr">
        <is>
          <t>Geruchsprotokoll und Rückmeldung einer Nachbarin vorhanden.</t>
        </is>
      </c>
    </row>
    <row r="9">
      <c r="A9" s="2" t="inlineStr">
        <is>
          <t>GB-2026-008</t>
        </is>
      </c>
      <c r="B9" s="2" t="inlineStr">
        <is>
          <t>Claudia Schäfer</t>
        </is>
      </c>
      <c r="C9" s="3" t="inlineStr">
        <is>
          <t>Leipzig Wohnen Verwaltung GmbH</t>
        </is>
      </c>
      <c r="D9" s="3" t="inlineStr">
        <is>
          <t>Karl-Liebknecht-Straße 112</t>
        </is>
      </c>
      <c r="E9" s="2" t="inlineStr">
        <is>
          <t>04275</t>
        </is>
      </c>
      <c r="F9" s="2" t="inlineStr">
        <is>
          <t>Leipzig</t>
        </is>
      </c>
      <c r="G9" s="33" t="n">
        <v>46096</v>
      </c>
      <c r="H9" s="34" t="n">
        <v>890</v>
      </c>
      <c r="I9" s="34" t="n">
        <v>180</v>
      </c>
      <c r="J9" s="35">
        <f>IF(A9="","",H9+I9)</f>
        <v/>
      </c>
      <c r="K9" s="33" t="n">
        <v>46248</v>
      </c>
      <c r="L9" s="33" t="n">
        <v>46275</v>
      </c>
      <c r="M9" s="3" t="inlineStr">
        <is>
          <t>Baustellen-/Abgasgeruch</t>
        </is>
      </c>
      <c r="N9" s="3" t="inlineStr">
        <is>
          <t>Abgas- und Baustellengerüche dringen bei geöffneten Fenstern in die Wohnung ein.</t>
        </is>
      </c>
      <c r="O9" s="3" t="inlineStr">
        <is>
          <t>Wohnzimmer, Balkon</t>
        </is>
      </c>
      <c r="P9" s="2" t="n">
        <v>5</v>
      </c>
      <c r="Q9" s="2" t="n">
        <v>3</v>
      </c>
      <c r="R9" s="2" t="inlineStr">
        <is>
          <t>Leicht</t>
        </is>
      </c>
      <c r="S9" s="33" t="n">
        <v>46256</v>
      </c>
      <c r="T9" s="33" t="n">
        <v>46288</v>
      </c>
      <c r="U9" s="3" t="inlineStr">
        <is>
          <t>Keine Rückmeldung</t>
        </is>
      </c>
      <c r="V9" s="36">
        <f>IF(A9="","",IF(A9="GB-2026-007",0.08,IFERROR(VLOOKUP(R9,'Anleitung'!$A$12:$B$14,2,FALSE),"")))</f>
        <v/>
      </c>
      <c r="W9" s="35">
        <f>IF(A9="","",H9*V9)</f>
        <v/>
      </c>
      <c r="X9" s="8">
        <f>IF(A9="","",IF(AND(K9&lt;&gt;"",L9&lt;&gt;""),MAX(1,ROUNDUP((L9-K9+1)/30,0)),""))</f>
        <v/>
      </c>
      <c r="Y9" s="35">
        <f>IF(A9="","",IFERROR(W9*X9,0))</f>
        <v/>
      </c>
      <c r="Z9" s="9">
        <f>IF(A9="","",IF(U9="Abhilfe erfolgt","Erledigt",IF(TODAY()&gt;T9,"Frist prüfen","Offen")))</f>
        <v/>
      </c>
      <c r="AA9" s="3" t="inlineStr">
        <is>
          <t>Tagebuch mit Uhrzeiten und Fotos der Baustellensituation.</t>
        </is>
      </c>
    </row>
    <row r="10">
      <c r="A10" s="2" t="inlineStr">
        <is>
          <t>GB-2026-009</t>
        </is>
      </c>
      <c r="B10" s="2" t="inlineStr">
        <is>
          <t>Markus Bauer</t>
        </is>
      </c>
      <c r="C10" s="3" t="inlineStr">
        <is>
          <t>Elbflorenz Immobilienverwaltung</t>
        </is>
      </c>
      <c r="D10" s="3" t="inlineStr">
        <is>
          <t>Königsbrücker Straße 145</t>
        </is>
      </c>
      <c r="E10" s="2" t="inlineStr">
        <is>
          <t>01099</t>
        </is>
      </c>
      <c r="F10" s="2" t="inlineStr">
        <is>
          <t>Dresden</t>
        </is>
      </c>
      <c r="G10" s="33" t="n">
        <v>46063</v>
      </c>
      <c r="H10" s="34" t="n">
        <v>1040</v>
      </c>
      <c r="I10" s="34" t="n">
        <v>200</v>
      </c>
      <c r="J10" s="35">
        <f>IF(A10="","",H10+I10)</f>
        <v/>
      </c>
      <c r="K10" s="33" t="n">
        <v>46217</v>
      </c>
      <c r="L10" s="33" t="n">
        <v>46275</v>
      </c>
      <c r="M10" s="3" t="inlineStr">
        <is>
          <t>Heizungs-/Ölgeruch</t>
        </is>
      </c>
      <c r="N10" s="3" t="inlineStr">
        <is>
          <t>Öl- und Heizungsgeruch tritt verstärkt während der Heizungsanlage in den Wohnräumen auf.</t>
        </is>
      </c>
      <c r="O10" s="3" t="inlineStr">
        <is>
          <t>Bad, Schlafzimmer, Flur</t>
        </is>
      </c>
      <c r="P10" s="2" t="n">
        <v>11</v>
      </c>
      <c r="Q10" s="2" t="n">
        <v>3</v>
      </c>
      <c r="R10" s="2" t="inlineStr">
        <is>
          <t>Mittel</t>
        </is>
      </c>
      <c r="S10" s="33" t="n">
        <v>46224</v>
      </c>
      <c r="T10" s="33" t="n">
        <v>46270</v>
      </c>
      <c r="U10" s="3" t="inlineStr">
        <is>
          <t>Techniker beauftragt</t>
        </is>
      </c>
      <c r="V10" s="36">
        <f>IF(A10="","",IF(A10="GB-2026-007",0.08,IFERROR(VLOOKUP(R10,'Anleitung'!$A$12:$B$14,2,FALSE),"")))</f>
        <v/>
      </c>
      <c r="W10" s="35">
        <f>IF(A10="","",H10*V10)</f>
        <v/>
      </c>
      <c r="X10" s="8">
        <f>IF(A10="","",IF(AND(K10&lt;&gt;"",L10&lt;&gt;""),MAX(1,ROUNDUP((L10-K10+1)/30,0)),""))</f>
        <v/>
      </c>
      <c r="Y10" s="35">
        <f>IF(A10="","",IFERROR(W10*X10,0))</f>
        <v/>
      </c>
      <c r="Z10" s="9">
        <f>IF(A10="","",IF(U10="Abhilfe erfolgt","Erledigt",IF(TODAY()&gt;T10,"Frist prüfen","Offen")))</f>
        <v/>
      </c>
      <c r="AA10" s="3" t="inlineStr">
        <is>
          <t>Geruchsprotokoll, Fotos der Anlage und Schriftverkehr beigefügt.</t>
        </is>
      </c>
    </row>
    <row r="11">
      <c r="A11" s="2" t="n"/>
      <c r="B11" s="2" t="n"/>
      <c r="C11" s="3" t="n"/>
      <c r="D11" s="3" t="n"/>
      <c r="E11" s="2" t="n"/>
      <c r="F11" s="2" t="n"/>
      <c r="G11" s="33" t="n"/>
      <c r="H11" s="34" t="n"/>
      <c r="I11" s="34" t="n"/>
      <c r="J11" s="35">
        <f>IF(A11="","",H11+I11)</f>
        <v/>
      </c>
      <c r="K11" s="33" t="n"/>
      <c r="L11" s="33" t="n"/>
      <c r="M11" s="3" t="n"/>
      <c r="N11" s="3" t="n"/>
      <c r="O11" s="3" t="n"/>
      <c r="P11" s="2" t="n"/>
      <c r="Q11" s="2" t="n"/>
      <c r="R11" s="2" t="n"/>
      <c r="S11" s="33" t="n"/>
      <c r="T11" s="33" t="n"/>
      <c r="U11" s="3" t="n"/>
      <c r="V11" s="36">
        <f>IF(A11="","",IF(A11="GB-2026-007",0.08,IFERROR(VLOOKUP(R11,'Anleitung'!$A$12:$B$14,2,FALSE),"")))</f>
        <v/>
      </c>
      <c r="W11" s="35">
        <f>IF(A11="","",H11*V11)</f>
        <v/>
      </c>
      <c r="X11" s="8">
        <f>IF(A11="","",IF(AND(K11&lt;&gt;"",L11&lt;&gt;""),MAX(1,ROUNDUP((L11-K11+1)/30,0)),""))</f>
        <v/>
      </c>
      <c r="Y11" s="35">
        <f>IF(A11="","",IFERROR(W11*X11,0))</f>
        <v/>
      </c>
      <c r="Z11" s="9">
        <f>IF(A11="","",IF(U11="Abhilfe erfolgt","Erledigt",IF(TODAY()&gt;T11,"Frist prüfen","Offen")))</f>
        <v/>
      </c>
      <c r="AA11" s="3" t="n"/>
    </row>
    <row r="12">
      <c r="A12" s="2" t="n"/>
      <c r="B12" s="2" t="n"/>
      <c r="C12" s="3" t="n"/>
      <c r="D12" s="3" t="n"/>
      <c r="E12" s="2" t="n"/>
      <c r="F12" s="2" t="n"/>
      <c r="G12" s="33" t="n"/>
      <c r="H12" s="34" t="n"/>
      <c r="I12" s="34" t="n"/>
      <c r="J12" s="35">
        <f>IF(A12="","",H12+I12)</f>
        <v/>
      </c>
      <c r="K12" s="33" t="n"/>
      <c r="L12" s="33" t="n"/>
      <c r="M12" s="3" t="n"/>
      <c r="N12" s="3" t="n"/>
      <c r="O12" s="3" t="n"/>
      <c r="P12" s="2" t="n"/>
      <c r="Q12" s="2" t="n"/>
      <c r="R12" s="2" t="n"/>
      <c r="S12" s="33" t="n"/>
      <c r="T12" s="33" t="n"/>
      <c r="U12" s="3" t="n"/>
      <c r="V12" s="36">
        <f>IF(A12="","",IF(A12="GB-2026-007",0.08,IFERROR(VLOOKUP(R12,'Anleitung'!$A$12:$B$14,2,FALSE),"")))</f>
        <v/>
      </c>
      <c r="W12" s="35">
        <f>IF(A12="","",H12*V12)</f>
        <v/>
      </c>
      <c r="X12" s="8">
        <f>IF(A12="","",IF(AND(K12&lt;&gt;"",L12&lt;&gt;""),MAX(1,ROUNDUP((L12-K12+1)/30,0)),""))</f>
        <v/>
      </c>
      <c r="Y12" s="35">
        <f>IF(A12="","",IFERROR(W12*X12,0))</f>
        <v/>
      </c>
      <c r="Z12" s="9">
        <f>IF(A12="","",IF(U12="Abhilfe erfolgt","Erledigt",IF(TODAY()&gt;T12,"Frist prüfen","Offen")))</f>
        <v/>
      </c>
      <c r="AA12" s="3" t="n"/>
    </row>
    <row r="13">
      <c r="A13" s="2" t="n"/>
      <c r="B13" s="2" t="n"/>
      <c r="C13" s="3" t="n"/>
      <c r="D13" s="3" t="n"/>
      <c r="E13" s="2" t="n"/>
      <c r="F13" s="2" t="n"/>
      <c r="G13" s="33" t="n"/>
      <c r="H13" s="34" t="n"/>
      <c r="I13" s="34" t="n"/>
      <c r="J13" s="35">
        <f>IF(A13="","",H13+I13)</f>
        <v/>
      </c>
      <c r="K13" s="33" t="n"/>
      <c r="L13" s="33" t="n"/>
      <c r="M13" s="3" t="n"/>
      <c r="N13" s="3" t="n"/>
      <c r="O13" s="3" t="n"/>
      <c r="P13" s="2" t="n"/>
      <c r="Q13" s="2" t="n"/>
      <c r="R13" s="2" t="n"/>
      <c r="S13" s="33" t="n"/>
      <c r="T13" s="33" t="n"/>
      <c r="U13" s="3" t="n"/>
      <c r="V13" s="36">
        <f>IF(A13="","",IF(A13="GB-2026-007",0.08,IFERROR(VLOOKUP(R13,'Anleitung'!$A$12:$B$14,2,FALSE),"")))</f>
        <v/>
      </c>
      <c r="W13" s="35">
        <f>IF(A13="","",H13*V13)</f>
        <v/>
      </c>
      <c r="X13" s="8">
        <f>IF(A13="","",IF(AND(K13&lt;&gt;"",L13&lt;&gt;""),MAX(1,ROUNDUP((L13-K13+1)/30,0)),""))</f>
        <v/>
      </c>
      <c r="Y13" s="35">
        <f>IF(A13="","",IFERROR(W13*X13,0))</f>
        <v/>
      </c>
      <c r="Z13" s="9">
        <f>IF(A13="","",IF(U13="Abhilfe erfolgt","Erledigt",IF(TODAY()&gt;T13,"Frist prüfen","Offen")))</f>
        <v/>
      </c>
      <c r="AA13" s="3" t="n"/>
    </row>
    <row r="14">
      <c r="A14" s="2" t="n"/>
      <c r="B14" s="2" t="n"/>
      <c r="C14" s="3" t="n"/>
      <c r="D14" s="3" t="n"/>
      <c r="E14" s="2" t="n"/>
      <c r="F14" s="2" t="n"/>
      <c r="G14" s="33" t="n"/>
      <c r="H14" s="34" t="n"/>
      <c r="I14" s="34" t="n"/>
      <c r="J14" s="35">
        <f>IF(A14="","",H14+I14)</f>
        <v/>
      </c>
      <c r="K14" s="33" t="n"/>
      <c r="L14" s="33" t="n"/>
      <c r="M14" s="3" t="n"/>
      <c r="N14" s="3" t="n"/>
      <c r="O14" s="3" t="n"/>
      <c r="P14" s="2" t="n"/>
      <c r="Q14" s="2" t="n"/>
      <c r="R14" s="2" t="n"/>
      <c r="S14" s="33" t="n"/>
      <c r="T14" s="33" t="n"/>
      <c r="U14" s="3" t="n"/>
      <c r="V14" s="36">
        <f>IF(A14="","",IF(A14="GB-2026-007",0.08,IFERROR(VLOOKUP(R14,'Anleitung'!$A$12:$B$14,2,FALSE),"")))</f>
        <v/>
      </c>
      <c r="W14" s="35">
        <f>IF(A14="","",H14*V14)</f>
        <v/>
      </c>
      <c r="X14" s="8">
        <f>IF(A14="","",IF(AND(K14&lt;&gt;"",L14&lt;&gt;""),MAX(1,ROUNDUP((L14-K14+1)/30,0)),""))</f>
        <v/>
      </c>
      <c r="Y14" s="35">
        <f>IF(A14="","",IFERROR(W14*X14,0))</f>
        <v/>
      </c>
      <c r="Z14" s="9">
        <f>IF(A14="","",IF(U14="Abhilfe erfolgt","Erledigt",IF(TODAY()&gt;T14,"Frist prüfen","Offen")))</f>
        <v/>
      </c>
      <c r="AA14" s="3" t="n"/>
    </row>
    <row r="15">
      <c r="A15" s="2" t="n"/>
      <c r="B15" s="2" t="n"/>
      <c r="C15" s="3" t="n"/>
      <c r="D15" s="3" t="n"/>
      <c r="E15" s="2" t="n"/>
      <c r="F15" s="2" t="n"/>
      <c r="G15" s="33" t="n"/>
      <c r="H15" s="34" t="n"/>
      <c r="I15" s="34" t="n"/>
      <c r="J15" s="35">
        <f>IF(A15="","",H15+I15)</f>
        <v/>
      </c>
      <c r="K15" s="33" t="n"/>
      <c r="L15" s="33" t="n"/>
      <c r="M15" s="3" t="n"/>
      <c r="N15" s="3" t="n"/>
      <c r="O15" s="3" t="n"/>
      <c r="P15" s="2" t="n"/>
      <c r="Q15" s="2" t="n"/>
      <c r="R15" s="2" t="n"/>
      <c r="S15" s="33" t="n"/>
      <c r="T15" s="33" t="n"/>
      <c r="U15" s="3" t="n"/>
      <c r="V15" s="36">
        <f>IF(A15="","",IF(A15="GB-2026-007",0.08,IFERROR(VLOOKUP(R15,'Anleitung'!$A$12:$B$14,2,FALSE),"")))</f>
        <v/>
      </c>
      <c r="W15" s="35">
        <f>IF(A15="","",H15*V15)</f>
        <v/>
      </c>
      <c r="X15" s="8">
        <f>IF(A15="","",IF(AND(K15&lt;&gt;"",L15&lt;&gt;""),MAX(1,ROUNDUP((L15-K15+1)/30,0)),""))</f>
        <v/>
      </c>
      <c r="Y15" s="35">
        <f>IF(A15="","",IFERROR(W15*X15,0))</f>
        <v/>
      </c>
      <c r="Z15" s="9">
        <f>IF(A15="","",IF(U15="Abhilfe erfolgt","Erledigt",IF(TODAY()&gt;T15,"Frist prüfen","Offen")))</f>
        <v/>
      </c>
      <c r="AA15" s="3" t="n"/>
    </row>
    <row r="16">
      <c r="A16" s="2" t="n"/>
      <c r="B16" s="2" t="n"/>
      <c r="C16" s="3" t="n"/>
      <c r="D16" s="3" t="n"/>
      <c r="E16" s="2" t="n"/>
      <c r="F16" s="2" t="n"/>
      <c r="G16" s="33" t="n"/>
      <c r="H16" s="34" t="n"/>
      <c r="I16" s="34" t="n"/>
      <c r="J16" s="35">
        <f>IF(A16="","",H16+I16)</f>
        <v/>
      </c>
      <c r="K16" s="33" t="n"/>
      <c r="L16" s="33" t="n"/>
      <c r="M16" s="3" t="n"/>
      <c r="N16" s="3" t="n"/>
      <c r="O16" s="3" t="n"/>
      <c r="P16" s="2" t="n"/>
      <c r="Q16" s="2" t="n"/>
      <c r="R16" s="2" t="n"/>
      <c r="S16" s="33" t="n"/>
      <c r="T16" s="33" t="n"/>
      <c r="U16" s="3" t="n"/>
      <c r="V16" s="36">
        <f>IF(A16="","",IF(A16="GB-2026-007",0.08,IFERROR(VLOOKUP(R16,'Anleitung'!$A$12:$B$14,2,FALSE),"")))</f>
        <v/>
      </c>
      <c r="W16" s="35">
        <f>IF(A16="","",H16*V16)</f>
        <v/>
      </c>
      <c r="X16" s="8">
        <f>IF(A16="","",IF(AND(K16&lt;&gt;"",L16&lt;&gt;""),MAX(1,ROUNDUP((L16-K16+1)/30,0)),""))</f>
        <v/>
      </c>
      <c r="Y16" s="35">
        <f>IF(A16="","",IFERROR(W16*X16,0))</f>
        <v/>
      </c>
      <c r="Z16" s="9">
        <f>IF(A16="","",IF(U16="Abhilfe erfolgt","Erledigt",IF(TODAY()&gt;T16,"Frist prüfen","Offen")))</f>
        <v/>
      </c>
      <c r="AA16" s="3" t="n"/>
    </row>
    <row r="17">
      <c r="A17" s="2" t="n"/>
      <c r="B17" s="2" t="n"/>
      <c r="C17" s="3" t="n"/>
      <c r="D17" s="3" t="n"/>
      <c r="E17" s="2" t="n"/>
      <c r="F17" s="2" t="n"/>
      <c r="G17" s="33" t="n"/>
      <c r="H17" s="34" t="n"/>
      <c r="I17" s="34" t="n"/>
      <c r="J17" s="35">
        <f>IF(A17="","",H17+I17)</f>
        <v/>
      </c>
      <c r="K17" s="33" t="n"/>
      <c r="L17" s="33" t="n"/>
      <c r="M17" s="3" t="n"/>
      <c r="N17" s="3" t="n"/>
      <c r="O17" s="3" t="n"/>
      <c r="P17" s="2" t="n"/>
      <c r="Q17" s="2" t="n"/>
      <c r="R17" s="2" t="n"/>
      <c r="S17" s="33" t="n"/>
      <c r="T17" s="33" t="n"/>
      <c r="U17" s="3" t="n"/>
      <c r="V17" s="36">
        <f>IF(A17="","",IF(A17="GB-2026-007",0.08,IFERROR(VLOOKUP(R17,'Anleitung'!$A$12:$B$14,2,FALSE),"")))</f>
        <v/>
      </c>
      <c r="W17" s="35">
        <f>IF(A17="","",H17*V17)</f>
        <v/>
      </c>
      <c r="X17" s="8">
        <f>IF(A17="","",IF(AND(K17&lt;&gt;"",L17&lt;&gt;""),MAX(1,ROUNDUP((L17-K17+1)/30,0)),""))</f>
        <v/>
      </c>
      <c r="Y17" s="35">
        <f>IF(A17="","",IFERROR(W17*X17,0))</f>
        <v/>
      </c>
      <c r="Z17" s="9">
        <f>IF(A17="","",IF(U17="Abhilfe erfolgt","Erledigt",IF(TODAY()&gt;T17,"Frist prüfen","Offen")))</f>
        <v/>
      </c>
      <c r="AA17" s="3" t="n"/>
    </row>
    <row r="18">
      <c r="A18" s="2" t="n"/>
      <c r="B18" s="2" t="n"/>
      <c r="C18" s="3" t="n"/>
      <c r="D18" s="3" t="n"/>
      <c r="E18" s="2" t="n"/>
      <c r="F18" s="2" t="n"/>
      <c r="G18" s="33" t="n"/>
      <c r="H18" s="34" t="n"/>
      <c r="I18" s="34" t="n"/>
      <c r="J18" s="35">
        <f>IF(A18="","",H18+I18)</f>
        <v/>
      </c>
      <c r="K18" s="33" t="n"/>
      <c r="L18" s="33" t="n"/>
      <c r="M18" s="3" t="n"/>
      <c r="N18" s="3" t="n"/>
      <c r="O18" s="3" t="n"/>
      <c r="P18" s="2" t="n"/>
      <c r="Q18" s="2" t="n"/>
      <c r="R18" s="2" t="n"/>
      <c r="S18" s="33" t="n"/>
      <c r="T18" s="33" t="n"/>
      <c r="U18" s="3" t="n"/>
      <c r="V18" s="36">
        <f>IF(A18="","",IF(A18="GB-2026-007",0.08,IFERROR(VLOOKUP(R18,'Anleitung'!$A$12:$B$14,2,FALSE),"")))</f>
        <v/>
      </c>
      <c r="W18" s="35">
        <f>IF(A18="","",H18*V18)</f>
        <v/>
      </c>
      <c r="X18" s="8">
        <f>IF(A18="","",IF(AND(K18&lt;&gt;"",L18&lt;&gt;""),MAX(1,ROUNDUP((L18-K18+1)/30,0)),""))</f>
        <v/>
      </c>
      <c r="Y18" s="35">
        <f>IF(A18="","",IFERROR(W18*X18,0))</f>
        <v/>
      </c>
      <c r="Z18" s="9">
        <f>IF(A18="","",IF(U18="Abhilfe erfolgt","Erledigt",IF(TODAY()&gt;T18,"Frist prüfen","Offen")))</f>
        <v/>
      </c>
      <c r="AA18" s="3" t="n"/>
    </row>
    <row r="19">
      <c r="A19" s="2" t="n"/>
      <c r="B19" s="2" t="n"/>
      <c r="C19" s="3" t="n"/>
      <c r="D19" s="3" t="n"/>
      <c r="E19" s="2" t="n"/>
      <c r="F19" s="2" t="n"/>
      <c r="G19" s="33" t="n"/>
      <c r="H19" s="34" t="n"/>
      <c r="I19" s="34" t="n"/>
      <c r="J19" s="35">
        <f>IF(A19="","",H19+I19)</f>
        <v/>
      </c>
      <c r="K19" s="33" t="n"/>
      <c r="L19" s="33" t="n"/>
      <c r="M19" s="3" t="n"/>
      <c r="N19" s="3" t="n"/>
      <c r="O19" s="3" t="n"/>
      <c r="P19" s="2" t="n"/>
      <c r="Q19" s="2" t="n"/>
      <c r="R19" s="2" t="n"/>
      <c r="S19" s="33" t="n"/>
      <c r="T19" s="33" t="n"/>
      <c r="U19" s="3" t="n"/>
      <c r="V19" s="36">
        <f>IF(A19="","",IF(A19="GB-2026-007",0.08,IFERROR(VLOOKUP(R19,'Anleitung'!$A$12:$B$14,2,FALSE),"")))</f>
        <v/>
      </c>
      <c r="W19" s="35">
        <f>IF(A19="","",H19*V19)</f>
        <v/>
      </c>
      <c r="X19" s="8">
        <f>IF(A19="","",IF(AND(K19&lt;&gt;"",L19&lt;&gt;""),MAX(1,ROUNDUP((L19-K19+1)/30,0)),""))</f>
        <v/>
      </c>
      <c r="Y19" s="35">
        <f>IF(A19="","",IFERROR(W19*X19,0))</f>
        <v/>
      </c>
      <c r="Z19" s="9">
        <f>IF(A19="","",IF(U19="Abhilfe erfolgt","Erledigt",IF(TODAY()&gt;T19,"Frist prüfen","Offen")))</f>
        <v/>
      </c>
      <c r="AA19" s="3" t="n"/>
    </row>
    <row r="20">
      <c r="A20" s="2" t="n"/>
      <c r="B20" s="2" t="n"/>
      <c r="C20" s="3" t="n"/>
      <c r="D20" s="3" t="n"/>
      <c r="E20" s="2" t="n"/>
      <c r="F20" s="2" t="n"/>
      <c r="G20" s="33" t="n"/>
      <c r="H20" s="34" t="n"/>
      <c r="I20" s="34" t="n"/>
      <c r="J20" s="35">
        <f>IF(A20="","",H20+I20)</f>
        <v/>
      </c>
      <c r="K20" s="33" t="n"/>
      <c r="L20" s="33" t="n"/>
      <c r="M20" s="3" t="n"/>
      <c r="N20" s="3" t="n"/>
      <c r="O20" s="3" t="n"/>
      <c r="P20" s="2" t="n"/>
      <c r="Q20" s="2" t="n"/>
      <c r="R20" s="2" t="n"/>
      <c r="S20" s="33" t="n"/>
      <c r="T20" s="33" t="n"/>
      <c r="U20" s="3" t="n"/>
      <c r="V20" s="36">
        <f>IF(A20="","",IF(A20="GB-2026-007",0.08,IFERROR(VLOOKUP(R20,'Anleitung'!$A$12:$B$14,2,FALSE),"")))</f>
        <v/>
      </c>
      <c r="W20" s="35">
        <f>IF(A20="","",H20*V20)</f>
        <v/>
      </c>
      <c r="X20" s="8">
        <f>IF(A20="","",IF(AND(K20&lt;&gt;"",L20&lt;&gt;""),MAX(1,ROUNDUP((L20-K20+1)/30,0)),""))</f>
        <v/>
      </c>
      <c r="Y20" s="35">
        <f>IF(A20="","",IFERROR(W20*X20,0))</f>
        <v/>
      </c>
      <c r="Z20" s="9">
        <f>IF(A20="","",IF(U20="Abhilfe erfolgt","Erledigt",IF(TODAY()&gt;T20,"Frist prüfen","Offen")))</f>
        <v/>
      </c>
      <c r="AA20" s="3" t="n"/>
    </row>
    <row r="21">
      <c r="A21" s="2" t="n"/>
      <c r="B21" s="2" t="n"/>
      <c r="C21" s="3" t="n"/>
      <c r="D21" s="3" t="n"/>
      <c r="E21" s="2" t="n"/>
      <c r="F21" s="2" t="n"/>
      <c r="G21" s="33" t="n"/>
      <c r="H21" s="34" t="n"/>
      <c r="I21" s="34" t="n"/>
      <c r="J21" s="35">
        <f>IF(A21="","",H21+I21)</f>
        <v/>
      </c>
      <c r="K21" s="33" t="n"/>
      <c r="L21" s="33" t="n"/>
      <c r="M21" s="3" t="n"/>
      <c r="N21" s="3" t="n"/>
      <c r="O21" s="3" t="n"/>
      <c r="P21" s="2" t="n"/>
      <c r="Q21" s="2" t="n"/>
      <c r="R21" s="2" t="n"/>
      <c r="S21" s="33" t="n"/>
      <c r="T21" s="33" t="n"/>
      <c r="U21" s="3" t="n"/>
      <c r="V21" s="36">
        <f>IF(A21="","",IF(A21="GB-2026-007",0.08,IFERROR(VLOOKUP(R21,'Anleitung'!$A$12:$B$14,2,FALSE),"")))</f>
        <v/>
      </c>
      <c r="W21" s="35">
        <f>IF(A21="","",H21*V21)</f>
        <v/>
      </c>
      <c r="X21" s="8">
        <f>IF(A21="","",IF(AND(K21&lt;&gt;"",L21&lt;&gt;""),MAX(1,ROUNDUP((L21-K21+1)/30,0)),""))</f>
        <v/>
      </c>
      <c r="Y21" s="35">
        <f>IF(A21="","",IFERROR(W21*X21,0))</f>
        <v/>
      </c>
      <c r="Z21" s="9">
        <f>IF(A21="","",IF(U21="Abhilfe erfolgt","Erledigt",IF(TODAY()&gt;T21,"Frist prüfen","Offen")))</f>
        <v/>
      </c>
      <c r="AA21" s="3" t="n"/>
    </row>
    <row r="22">
      <c r="A22" s="2" t="n"/>
      <c r="B22" s="2" t="n"/>
      <c r="C22" s="3" t="n"/>
      <c r="D22" s="3" t="n"/>
      <c r="E22" s="2" t="n"/>
      <c r="F22" s="2" t="n"/>
      <c r="G22" s="33" t="n"/>
      <c r="H22" s="34" t="n"/>
      <c r="I22" s="34" t="n"/>
      <c r="J22" s="35">
        <f>IF(A22="","",H22+I22)</f>
        <v/>
      </c>
      <c r="K22" s="33" t="n"/>
      <c r="L22" s="33" t="n"/>
      <c r="M22" s="3" t="n"/>
      <c r="N22" s="3" t="n"/>
      <c r="O22" s="3" t="n"/>
      <c r="P22" s="2" t="n"/>
      <c r="Q22" s="2" t="n"/>
      <c r="R22" s="2" t="n"/>
      <c r="S22" s="33" t="n"/>
      <c r="T22" s="33" t="n"/>
      <c r="U22" s="3" t="n"/>
      <c r="V22" s="36">
        <f>IF(A22="","",IF(A22="GB-2026-007",0.08,IFERROR(VLOOKUP(R22,'Anleitung'!$A$12:$B$14,2,FALSE),"")))</f>
        <v/>
      </c>
      <c r="W22" s="35">
        <f>IF(A22="","",H22*V22)</f>
        <v/>
      </c>
      <c r="X22" s="8">
        <f>IF(A22="","",IF(AND(K22&lt;&gt;"",L22&lt;&gt;""),MAX(1,ROUNDUP((L22-K22+1)/30,0)),""))</f>
        <v/>
      </c>
      <c r="Y22" s="35">
        <f>IF(A22="","",IFERROR(W22*X22,0))</f>
        <v/>
      </c>
      <c r="Z22" s="9">
        <f>IF(A22="","",IF(U22="Abhilfe erfolgt","Erledigt",IF(TODAY()&gt;T22,"Frist prüfen","Offen")))</f>
        <v/>
      </c>
      <c r="AA22" s="3" t="n"/>
    </row>
    <row r="23">
      <c r="A23" s="2" t="n"/>
      <c r="B23" s="2" t="n"/>
      <c r="C23" s="3" t="n"/>
      <c r="D23" s="3" t="n"/>
      <c r="E23" s="2" t="n"/>
      <c r="F23" s="2" t="n"/>
      <c r="G23" s="33" t="n"/>
      <c r="H23" s="34" t="n"/>
      <c r="I23" s="34" t="n"/>
      <c r="J23" s="35">
        <f>IF(A23="","",H23+I23)</f>
        <v/>
      </c>
      <c r="K23" s="33" t="n"/>
      <c r="L23" s="33" t="n"/>
      <c r="M23" s="3" t="n"/>
      <c r="N23" s="3" t="n"/>
      <c r="O23" s="3" t="n"/>
      <c r="P23" s="2" t="n"/>
      <c r="Q23" s="2" t="n"/>
      <c r="R23" s="2" t="n"/>
      <c r="S23" s="33" t="n"/>
      <c r="T23" s="33" t="n"/>
      <c r="U23" s="3" t="n"/>
      <c r="V23" s="36">
        <f>IF(A23="","",IF(A23="GB-2026-007",0.08,IFERROR(VLOOKUP(R23,'Anleitung'!$A$12:$B$14,2,FALSE),"")))</f>
        <v/>
      </c>
      <c r="W23" s="35">
        <f>IF(A23="","",H23*V23)</f>
        <v/>
      </c>
      <c r="X23" s="8">
        <f>IF(A23="","",IF(AND(K23&lt;&gt;"",L23&lt;&gt;""),MAX(1,ROUNDUP((L23-K23+1)/30,0)),""))</f>
        <v/>
      </c>
      <c r="Y23" s="35">
        <f>IF(A23="","",IFERROR(W23*X23,0))</f>
        <v/>
      </c>
      <c r="Z23" s="9">
        <f>IF(A23="","",IF(U23="Abhilfe erfolgt","Erledigt",IF(TODAY()&gt;T23,"Frist prüfen","Offen")))</f>
        <v/>
      </c>
      <c r="AA23" s="3" t="n"/>
    </row>
    <row r="24">
      <c r="A24" s="2" t="n"/>
      <c r="B24" s="2" t="n"/>
      <c r="C24" s="3" t="n"/>
      <c r="D24" s="3" t="n"/>
      <c r="E24" s="2" t="n"/>
      <c r="F24" s="2" t="n"/>
      <c r="G24" s="33" t="n"/>
      <c r="H24" s="34" t="n"/>
      <c r="I24" s="34" t="n"/>
      <c r="J24" s="35">
        <f>IF(A24="","",H24+I24)</f>
        <v/>
      </c>
      <c r="K24" s="33" t="n"/>
      <c r="L24" s="33" t="n"/>
      <c r="M24" s="3" t="n"/>
      <c r="N24" s="3" t="n"/>
      <c r="O24" s="3" t="n"/>
      <c r="P24" s="2" t="n"/>
      <c r="Q24" s="2" t="n"/>
      <c r="R24" s="2" t="n"/>
      <c r="S24" s="33" t="n"/>
      <c r="T24" s="33" t="n"/>
      <c r="U24" s="3" t="n"/>
      <c r="V24" s="36">
        <f>IF(A24="","",IF(A24="GB-2026-007",0.08,IFERROR(VLOOKUP(R24,'Anleitung'!$A$12:$B$14,2,FALSE),"")))</f>
        <v/>
      </c>
      <c r="W24" s="35">
        <f>IF(A24="","",H24*V24)</f>
        <v/>
      </c>
      <c r="X24" s="8">
        <f>IF(A24="","",IF(AND(K24&lt;&gt;"",L24&lt;&gt;""),MAX(1,ROUNDUP((L24-K24+1)/30,0)),""))</f>
        <v/>
      </c>
      <c r="Y24" s="35">
        <f>IF(A24="","",IFERROR(W24*X24,0))</f>
        <v/>
      </c>
      <c r="Z24" s="9">
        <f>IF(A24="","",IF(U24="Abhilfe erfolgt","Erledigt",IF(TODAY()&gt;T24,"Frist prüfen","Offen")))</f>
        <v/>
      </c>
      <c r="AA24" s="3" t="n"/>
    </row>
    <row r="25">
      <c r="A25" s="2" t="n"/>
      <c r="B25" s="2" t="n"/>
      <c r="C25" s="3" t="n"/>
      <c r="D25" s="3" t="n"/>
      <c r="E25" s="2" t="n"/>
      <c r="F25" s="2" t="n"/>
      <c r="G25" s="33" t="n"/>
      <c r="H25" s="34" t="n"/>
      <c r="I25" s="34" t="n"/>
      <c r="J25" s="35">
        <f>IF(A25="","",H25+I25)</f>
        <v/>
      </c>
      <c r="K25" s="33" t="n"/>
      <c r="L25" s="33" t="n"/>
      <c r="M25" s="3" t="n"/>
      <c r="N25" s="3" t="n"/>
      <c r="O25" s="3" t="n"/>
      <c r="P25" s="2" t="n"/>
      <c r="Q25" s="2" t="n"/>
      <c r="R25" s="2" t="n"/>
      <c r="S25" s="33" t="n"/>
      <c r="T25" s="33" t="n"/>
      <c r="U25" s="3" t="n"/>
      <c r="V25" s="36">
        <f>IF(A25="","",IF(A25="GB-2026-007",0.08,IFERROR(VLOOKUP(R25,'Anleitung'!$A$12:$B$14,2,FALSE),"")))</f>
        <v/>
      </c>
      <c r="W25" s="35">
        <f>IF(A25="","",H25*V25)</f>
        <v/>
      </c>
      <c r="X25" s="8">
        <f>IF(A25="","",IF(AND(K25&lt;&gt;"",L25&lt;&gt;""),MAX(1,ROUNDUP((L25-K25+1)/30,0)),""))</f>
        <v/>
      </c>
      <c r="Y25" s="35">
        <f>IF(A25="","",IFERROR(W25*X25,0))</f>
        <v/>
      </c>
      <c r="Z25" s="9">
        <f>IF(A25="","",IF(U25="Abhilfe erfolgt","Erledigt",IF(TODAY()&gt;T25,"Frist prüfen","Offen")))</f>
        <v/>
      </c>
      <c r="AA25" s="3" t="n"/>
    </row>
    <row r="26">
      <c r="A26" s="2" t="n"/>
      <c r="B26" s="2" t="n"/>
      <c r="C26" s="3" t="n"/>
      <c r="D26" s="3" t="n"/>
      <c r="E26" s="2" t="n"/>
      <c r="F26" s="2" t="n"/>
      <c r="G26" s="33" t="n"/>
      <c r="H26" s="34" t="n"/>
      <c r="I26" s="34" t="n"/>
      <c r="J26" s="35">
        <f>IF(A26="","",H26+I26)</f>
        <v/>
      </c>
      <c r="K26" s="33" t="n"/>
      <c r="L26" s="33" t="n"/>
      <c r="M26" s="3" t="n"/>
      <c r="N26" s="3" t="n"/>
      <c r="O26" s="3" t="n"/>
      <c r="P26" s="2" t="n"/>
      <c r="Q26" s="2" t="n"/>
      <c r="R26" s="2" t="n"/>
      <c r="S26" s="33" t="n"/>
      <c r="T26" s="33" t="n"/>
      <c r="U26" s="3" t="n"/>
      <c r="V26" s="36">
        <f>IF(A26="","",IF(A26="GB-2026-007",0.08,IFERROR(VLOOKUP(R26,'Anleitung'!$A$12:$B$14,2,FALSE),"")))</f>
        <v/>
      </c>
      <c r="W26" s="35">
        <f>IF(A26="","",H26*V26)</f>
        <v/>
      </c>
      <c r="X26" s="8">
        <f>IF(A26="","",IF(AND(K26&lt;&gt;"",L26&lt;&gt;""),MAX(1,ROUNDUP((L26-K26+1)/30,0)),""))</f>
        <v/>
      </c>
      <c r="Y26" s="35">
        <f>IF(A26="","",IFERROR(W26*X26,0))</f>
        <v/>
      </c>
      <c r="Z26" s="9">
        <f>IF(A26="","",IF(U26="Abhilfe erfolgt","Erledigt",IF(TODAY()&gt;T26,"Frist prüfen","Offen")))</f>
        <v/>
      </c>
      <c r="AA26" s="3" t="n"/>
    </row>
    <row r="27">
      <c r="A27" s="2" t="n"/>
      <c r="B27" s="2" t="n"/>
      <c r="C27" s="3" t="n"/>
      <c r="D27" s="3" t="n"/>
      <c r="E27" s="2" t="n"/>
      <c r="F27" s="2" t="n"/>
      <c r="G27" s="33" t="n"/>
      <c r="H27" s="34" t="n"/>
      <c r="I27" s="34" t="n"/>
      <c r="J27" s="35">
        <f>IF(A27="","",H27+I27)</f>
        <v/>
      </c>
      <c r="K27" s="33" t="n"/>
      <c r="L27" s="33" t="n"/>
      <c r="M27" s="3" t="n"/>
      <c r="N27" s="3" t="n"/>
      <c r="O27" s="3" t="n"/>
      <c r="P27" s="2" t="n"/>
      <c r="Q27" s="2" t="n"/>
      <c r="R27" s="2" t="n"/>
      <c r="S27" s="33" t="n"/>
      <c r="T27" s="33" t="n"/>
      <c r="U27" s="3" t="n"/>
      <c r="V27" s="36">
        <f>IF(A27="","",IF(A27="GB-2026-007",0.08,IFERROR(VLOOKUP(R27,'Anleitung'!$A$12:$B$14,2,FALSE),"")))</f>
        <v/>
      </c>
      <c r="W27" s="35">
        <f>IF(A27="","",H27*V27)</f>
        <v/>
      </c>
      <c r="X27" s="8">
        <f>IF(A27="","",IF(AND(K27&lt;&gt;"",L27&lt;&gt;""),MAX(1,ROUNDUP((L27-K27+1)/30,0)),""))</f>
        <v/>
      </c>
      <c r="Y27" s="35">
        <f>IF(A27="","",IFERROR(W27*X27,0))</f>
        <v/>
      </c>
      <c r="Z27" s="9">
        <f>IF(A27="","",IF(U27="Abhilfe erfolgt","Erledigt",IF(TODAY()&gt;T27,"Frist prüfen","Offen")))</f>
        <v/>
      </c>
      <c r="AA27" s="3" t="n"/>
    </row>
    <row r="28">
      <c r="A28" s="2" t="n"/>
      <c r="B28" s="2" t="n"/>
      <c r="C28" s="3" t="n"/>
      <c r="D28" s="3" t="n"/>
      <c r="E28" s="2" t="n"/>
      <c r="F28" s="2" t="n"/>
      <c r="G28" s="33" t="n"/>
      <c r="H28" s="34" t="n"/>
      <c r="I28" s="34" t="n"/>
      <c r="J28" s="35">
        <f>IF(A28="","",H28+I28)</f>
        <v/>
      </c>
      <c r="K28" s="33" t="n"/>
      <c r="L28" s="33" t="n"/>
      <c r="M28" s="3" t="n"/>
      <c r="N28" s="3" t="n"/>
      <c r="O28" s="3" t="n"/>
      <c r="P28" s="2" t="n"/>
      <c r="Q28" s="2" t="n"/>
      <c r="R28" s="2" t="n"/>
      <c r="S28" s="33" t="n"/>
      <c r="T28" s="33" t="n"/>
      <c r="U28" s="3" t="n"/>
      <c r="V28" s="36">
        <f>IF(A28="","",IF(A28="GB-2026-007",0.08,IFERROR(VLOOKUP(R28,'Anleitung'!$A$12:$B$14,2,FALSE),"")))</f>
        <v/>
      </c>
      <c r="W28" s="35">
        <f>IF(A28="","",H28*V28)</f>
        <v/>
      </c>
      <c r="X28" s="8">
        <f>IF(A28="","",IF(AND(K28&lt;&gt;"",L28&lt;&gt;""),MAX(1,ROUNDUP((L28-K28+1)/30,0)),""))</f>
        <v/>
      </c>
      <c r="Y28" s="35">
        <f>IF(A28="","",IFERROR(W28*X28,0))</f>
        <v/>
      </c>
      <c r="Z28" s="9">
        <f>IF(A28="","",IF(U28="Abhilfe erfolgt","Erledigt",IF(TODAY()&gt;T28,"Frist prüfen","Offen")))</f>
        <v/>
      </c>
      <c r="AA28" s="3" t="n"/>
    </row>
    <row r="29">
      <c r="A29" s="2" t="n"/>
      <c r="B29" s="2" t="n"/>
      <c r="C29" s="3" t="n"/>
      <c r="D29" s="3" t="n"/>
      <c r="E29" s="2" t="n"/>
      <c r="F29" s="2" t="n"/>
      <c r="G29" s="33" t="n"/>
      <c r="H29" s="34" t="n"/>
      <c r="I29" s="34" t="n"/>
      <c r="J29" s="35">
        <f>IF(A29="","",H29+I29)</f>
        <v/>
      </c>
      <c r="K29" s="33" t="n"/>
      <c r="L29" s="33" t="n"/>
      <c r="M29" s="3" t="n"/>
      <c r="N29" s="3" t="n"/>
      <c r="O29" s="3" t="n"/>
      <c r="P29" s="2" t="n"/>
      <c r="Q29" s="2" t="n"/>
      <c r="R29" s="2" t="n"/>
      <c r="S29" s="33" t="n"/>
      <c r="T29" s="33" t="n"/>
      <c r="U29" s="3" t="n"/>
      <c r="V29" s="36">
        <f>IF(A29="","",IF(A29="GB-2026-007",0.08,IFERROR(VLOOKUP(R29,'Anleitung'!$A$12:$B$14,2,FALSE),"")))</f>
        <v/>
      </c>
      <c r="W29" s="35">
        <f>IF(A29="","",H29*V29)</f>
        <v/>
      </c>
      <c r="X29" s="8">
        <f>IF(A29="","",IF(AND(K29&lt;&gt;"",L29&lt;&gt;""),MAX(1,ROUNDUP((L29-K29+1)/30,0)),""))</f>
        <v/>
      </c>
      <c r="Y29" s="35">
        <f>IF(A29="","",IFERROR(W29*X29,0))</f>
        <v/>
      </c>
      <c r="Z29" s="9">
        <f>IF(A29="","",IF(U29="Abhilfe erfolgt","Erledigt",IF(TODAY()&gt;T29,"Frist prüfen","Offen")))</f>
        <v/>
      </c>
      <c r="AA29" s="3" t="n"/>
    </row>
    <row r="30">
      <c r="A30" s="2" t="n"/>
      <c r="B30" s="2" t="n"/>
      <c r="C30" s="3" t="n"/>
      <c r="D30" s="3" t="n"/>
      <c r="E30" s="2" t="n"/>
      <c r="F30" s="2" t="n"/>
      <c r="G30" s="33" t="n"/>
      <c r="H30" s="34" t="n"/>
      <c r="I30" s="34" t="n"/>
      <c r="J30" s="35">
        <f>IF(A30="","",H30+I30)</f>
        <v/>
      </c>
      <c r="K30" s="33" t="n"/>
      <c r="L30" s="33" t="n"/>
      <c r="M30" s="3" t="n"/>
      <c r="N30" s="3" t="n"/>
      <c r="O30" s="3" t="n"/>
      <c r="P30" s="2" t="n"/>
      <c r="Q30" s="2" t="n"/>
      <c r="R30" s="2" t="n"/>
      <c r="S30" s="33" t="n"/>
      <c r="T30" s="33" t="n"/>
      <c r="U30" s="3" t="n"/>
      <c r="V30" s="36">
        <f>IF(A30="","",IF(A30="GB-2026-007",0.08,IFERROR(VLOOKUP(R30,'Anleitung'!$A$12:$B$14,2,FALSE),"")))</f>
        <v/>
      </c>
      <c r="W30" s="35">
        <f>IF(A30="","",H30*V30)</f>
        <v/>
      </c>
      <c r="X30" s="8">
        <f>IF(A30="","",IF(AND(K30&lt;&gt;"",L30&lt;&gt;""),MAX(1,ROUNDUP((L30-K30+1)/30,0)),""))</f>
        <v/>
      </c>
      <c r="Y30" s="35">
        <f>IF(A30="","",IFERROR(W30*X30,0))</f>
        <v/>
      </c>
      <c r="Z30" s="9">
        <f>IF(A30="","",IF(U30="Abhilfe erfolgt","Erledigt",IF(TODAY()&gt;T30,"Frist prüfen","Offen")))</f>
        <v/>
      </c>
      <c r="AA30" s="3" t="n"/>
    </row>
    <row r="31">
      <c r="A31" s="2" t="n"/>
      <c r="B31" s="2" t="n"/>
      <c r="C31" s="3" t="n"/>
      <c r="D31" s="3" t="n"/>
      <c r="E31" s="2" t="n"/>
      <c r="F31" s="2" t="n"/>
      <c r="G31" s="33" t="n"/>
      <c r="H31" s="34" t="n"/>
      <c r="I31" s="34" t="n"/>
      <c r="J31" s="35">
        <f>IF(A31="","",H31+I31)</f>
        <v/>
      </c>
      <c r="K31" s="33" t="n"/>
      <c r="L31" s="33" t="n"/>
      <c r="M31" s="3" t="n"/>
      <c r="N31" s="3" t="n"/>
      <c r="O31" s="3" t="n"/>
      <c r="P31" s="2" t="n"/>
      <c r="Q31" s="2" t="n"/>
      <c r="R31" s="2" t="n"/>
      <c r="S31" s="33" t="n"/>
      <c r="T31" s="33" t="n"/>
      <c r="U31" s="3" t="n"/>
      <c r="V31" s="36">
        <f>IF(A31="","",IF(A31="GB-2026-007",0.08,IFERROR(VLOOKUP(R31,'Anleitung'!$A$12:$B$14,2,FALSE),"")))</f>
        <v/>
      </c>
      <c r="W31" s="35">
        <f>IF(A31="","",H31*V31)</f>
        <v/>
      </c>
      <c r="X31" s="8">
        <f>IF(A31="","",IF(AND(K31&lt;&gt;"",L31&lt;&gt;""),MAX(1,ROUNDUP((L31-K31+1)/30,0)),""))</f>
        <v/>
      </c>
      <c r="Y31" s="35">
        <f>IF(A31="","",IFERROR(W31*X31,0))</f>
        <v/>
      </c>
      <c r="Z31" s="9">
        <f>IF(A31="","",IF(U31="Abhilfe erfolgt","Erledigt",IF(TODAY()&gt;T31,"Frist prüfen","Offen")))</f>
        <v/>
      </c>
      <c r="AA31" s="3" t="n"/>
    </row>
    <row r="32">
      <c r="A32" s="2" t="n"/>
      <c r="B32" s="2" t="n"/>
      <c r="C32" s="3" t="n"/>
      <c r="D32" s="3" t="n"/>
      <c r="E32" s="2" t="n"/>
      <c r="F32" s="2" t="n"/>
      <c r="G32" s="33" t="n"/>
      <c r="H32" s="34" t="n"/>
      <c r="I32" s="34" t="n"/>
      <c r="J32" s="35">
        <f>IF(A32="","",H32+I32)</f>
        <v/>
      </c>
      <c r="K32" s="33" t="n"/>
      <c r="L32" s="33" t="n"/>
      <c r="M32" s="3" t="n"/>
      <c r="N32" s="3" t="n"/>
      <c r="O32" s="3" t="n"/>
      <c r="P32" s="2" t="n"/>
      <c r="Q32" s="2" t="n"/>
      <c r="R32" s="2" t="n"/>
      <c r="S32" s="33" t="n"/>
      <c r="T32" s="33" t="n"/>
      <c r="U32" s="3" t="n"/>
      <c r="V32" s="36">
        <f>IF(A32="","",IF(A32="GB-2026-007",0.08,IFERROR(VLOOKUP(R32,'Anleitung'!$A$12:$B$14,2,FALSE),"")))</f>
        <v/>
      </c>
      <c r="W32" s="35">
        <f>IF(A32="","",H32*V32)</f>
        <v/>
      </c>
      <c r="X32" s="8">
        <f>IF(A32="","",IF(AND(K32&lt;&gt;"",L32&lt;&gt;""),MAX(1,ROUNDUP((L32-K32+1)/30,0)),""))</f>
        <v/>
      </c>
      <c r="Y32" s="35">
        <f>IF(A32="","",IFERROR(W32*X32,0))</f>
        <v/>
      </c>
      <c r="Z32" s="9">
        <f>IF(A32="","",IF(U32="Abhilfe erfolgt","Erledigt",IF(TODAY()&gt;T32,"Frist prüfen","Offen")))</f>
        <v/>
      </c>
      <c r="AA32" s="3" t="n"/>
    </row>
    <row r="33">
      <c r="A33" s="2" t="n"/>
      <c r="B33" s="2" t="n"/>
      <c r="C33" s="3" t="n"/>
      <c r="D33" s="3" t="n"/>
      <c r="E33" s="2" t="n"/>
      <c r="F33" s="2" t="n"/>
      <c r="G33" s="33" t="n"/>
      <c r="H33" s="34" t="n"/>
      <c r="I33" s="34" t="n"/>
      <c r="J33" s="35">
        <f>IF(A33="","",H33+I33)</f>
        <v/>
      </c>
      <c r="K33" s="33" t="n"/>
      <c r="L33" s="33" t="n"/>
      <c r="M33" s="3" t="n"/>
      <c r="N33" s="3" t="n"/>
      <c r="O33" s="3" t="n"/>
      <c r="P33" s="2" t="n"/>
      <c r="Q33" s="2" t="n"/>
      <c r="R33" s="2" t="n"/>
      <c r="S33" s="33" t="n"/>
      <c r="T33" s="33" t="n"/>
      <c r="U33" s="3" t="n"/>
      <c r="V33" s="36">
        <f>IF(A33="","",IF(A33="GB-2026-007",0.08,IFERROR(VLOOKUP(R33,'Anleitung'!$A$12:$B$14,2,FALSE),"")))</f>
        <v/>
      </c>
      <c r="W33" s="35">
        <f>IF(A33="","",H33*V33)</f>
        <v/>
      </c>
      <c r="X33" s="8">
        <f>IF(A33="","",IF(AND(K33&lt;&gt;"",L33&lt;&gt;""),MAX(1,ROUNDUP((L33-K33+1)/30,0)),""))</f>
        <v/>
      </c>
      <c r="Y33" s="35">
        <f>IF(A33="","",IFERROR(W33*X33,0))</f>
        <v/>
      </c>
      <c r="Z33" s="9">
        <f>IF(A33="","",IF(U33="Abhilfe erfolgt","Erledigt",IF(TODAY()&gt;T33,"Frist prüfen","Offen")))</f>
        <v/>
      </c>
      <c r="AA33" s="3" t="n"/>
    </row>
    <row r="34">
      <c r="A34" s="2" t="n"/>
      <c r="B34" s="2" t="n"/>
      <c r="C34" s="3" t="n"/>
      <c r="D34" s="3" t="n"/>
      <c r="E34" s="2" t="n"/>
      <c r="F34" s="2" t="n"/>
      <c r="G34" s="33" t="n"/>
      <c r="H34" s="34" t="n"/>
      <c r="I34" s="34" t="n"/>
      <c r="J34" s="35">
        <f>IF(A34="","",H34+I34)</f>
        <v/>
      </c>
      <c r="K34" s="33" t="n"/>
      <c r="L34" s="33" t="n"/>
      <c r="M34" s="3" t="n"/>
      <c r="N34" s="3" t="n"/>
      <c r="O34" s="3" t="n"/>
      <c r="P34" s="2" t="n"/>
      <c r="Q34" s="2" t="n"/>
      <c r="R34" s="2" t="n"/>
      <c r="S34" s="33" t="n"/>
      <c r="T34" s="33" t="n"/>
      <c r="U34" s="3" t="n"/>
      <c r="V34" s="36">
        <f>IF(A34="","",IF(A34="GB-2026-007",0.08,IFERROR(VLOOKUP(R34,'Anleitung'!$A$12:$B$14,2,FALSE),"")))</f>
        <v/>
      </c>
      <c r="W34" s="35">
        <f>IF(A34="","",H34*V34)</f>
        <v/>
      </c>
      <c r="X34" s="8">
        <f>IF(A34="","",IF(AND(K34&lt;&gt;"",L34&lt;&gt;""),MAX(1,ROUNDUP((L34-K34+1)/30,0)),""))</f>
        <v/>
      </c>
      <c r="Y34" s="35">
        <f>IF(A34="","",IFERROR(W34*X34,0))</f>
        <v/>
      </c>
      <c r="Z34" s="9">
        <f>IF(A34="","",IF(U34="Abhilfe erfolgt","Erledigt",IF(TODAY()&gt;T34,"Frist prüfen","Offen")))</f>
        <v/>
      </c>
      <c r="AA34" s="3" t="n"/>
    </row>
    <row r="35">
      <c r="A35" s="2" t="n"/>
      <c r="B35" s="2" t="n"/>
      <c r="C35" s="3" t="n"/>
      <c r="D35" s="3" t="n"/>
      <c r="E35" s="2" t="n"/>
      <c r="F35" s="2" t="n"/>
      <c r="G35" s="33" t="n"/>
      <c r="H35" s="34" t="n"/>
      <c r="I35" s="34" t="n"/>
      <c r="J35" s="35">
        <f>IF(A35="","",H35+I35)</f>
        <v/>
      </c>
      <c r="K35" s="33" t="n"/>
      <c r="L35" s="33" t="n"/>
      <c r="M35" s="3" t="n"/>
      <c r="N35" s="3" t="n"/>
      <c r="O35" s="3" t="n"/>
      <c r="P35" s="2" t="n"/>
      <c r="Q35" s="2" t="n"/>
      <c r="R35" s="2" t="n"/>
      <c r="S35" s="33" t="n"/>
      <c r="T35" s="33" t="n"/>
      <c r="U35" s="3" t="n"/>
      <c r="V35" s="36">
        <f>IF(A35="","",IF(A35="GB-2026-007",0.08,IFERROR(VLOOKUP(R35,'Anleitung'!$A$12:$B$14,2,FALSE),"")))</f>
        <v/>
      </c>
      <c r="W35" s="35">
        <f>IF(A35="","",H35*V35)</f>
        <v/>
      </c>
      <c r="X35" s="8">
        <f>IF(A35="","",IF(AND(K35&lt;&gt;"",L35&lt;&gt;""),MAX(1,ROUNDUP((L35-K35+1)/30,0)),""))</f>
        <v/>
      </c>
      <c r="Y35" s="35">
        <f>IF(A35="","",IFERROR(W35*X35,0))</f>
        <v/>
      </c>
      <c r="Z35" s="9">
        <f>IF(A35="","",IF(U35="Abhilfe erfolgt","Erledigt",IF(TODAY()&gt;T35,"Frist prüfen","Offen")))</f>
        <v/>
      </c>
      <c r="AA35" s="3" t="n"/>
    </row>
    <row r="36">
      <c r="A36" s="2" t="n"/>
      <c r="B36" s="2" t="n"/>
      <c r="C36" s="3" t="n"/>
      <c r="D36" s="3" t="n"/>
      <c r="E36" s="2" t="n"/>
      <c r="F36" s="2" t="n"/>
      <c r="G36" s="33" t="n"/>
      <c r="H36" s="34" t="n"/>
      <c r="I36" s="34" t="n"/>
      <c r="J36" s="35">
        <f>IF(A36="","",H36+I36)</f>
        <v/>
      </c>
      <c r="K36" s="33" t="n"/>
      <c r="L36" s="33" t="n"/>
      <c r="M36" s="3" t="n"/>
      <c r="N36" s="3" t="n"/>
      <c r="O36" s="3" t="n"/>
      <c r="P36" s="2" t="n"/>
      <c r="Q36" s="2" t="n"/>
      <c r="R36" s="2" t="n"/>
      <c r="S36" s="33" t="n"/>
      <c r="T36" s="33" t="n"/>
      <c r="U36" s="3" t="n"/>
      <c r="V36" s="36">
        <f>IF(A36="","",IF(A36="GB-2026-007",0.08,IFERROR(VLOOKUP(R36,'Anleitung'!$A$12:$B$14,2,FALSE),"")))</f>
        <v/>
      </c>
      <c r="W36" s="35">
        <f>IF(A36="","",H36*V36)</f>
        <v/>
      </c>
      <c r="X36" s="8">
        <f>IF(A36="","",IF(AND(K36&lt;&gt;"",L36&lt;&gt;""),MAX(1,ROUNDUP((L36-K36+1)/30,0)),""))</f>
        <v/>
      </c>
      <c r="Y36" s="35">
        <f>IF(A36="","",IFERROR(W36*X36,0))</f>
        <v/>
      </c>
      <c r="Z36" s="9">
        <f>IF(A36="","",IF(U36="Abhilfe erfolgt","Erledigt",IF(TODAY()&gt;T36,"Frist prüfen","Offen")))</f>
        <v/>
      </c>
      <c r="AA36" s="3" t="n"/>
    </row>
    <row r="37">
      <c r="A37" s="2" t="n"/>
      <c r="B37" s="2" t="n"/>
      <c r="C37" s="3" t="n"/>
      <c r="D37" s="3" t="n"/>
      <c r="E37" s="2" t="n"/>
      <c r="F37" s="2" t="n"/>
      <c r="G37" s="33" t="n"/>
      <c r="H37" s="34" t="n"/>
      <c r="I37" s="34" t="n"/>
      <c r="J37" s="35">
        <f>IF(A37="","",H37+I37)</f>
        <v/>
      </c>
      <c r="K37" s="33" t="n"/>
      <c r="L37" s="33" t="n"/>
      <c r="M37" s="3" t="n"/>
      <c r="N37" s="3" t="n"/>
      <c r="O37" s="3" t="n"/>
      <c r="P37" s="2" t="n"/>
      <c r="Q37" s="2" t="n"/>
      <c r="R37" s="2" t="n"/>
      <c r="S37" s="33" t="n"/>
      <c r="T37" s="33" t="n"/>
      <c r="U37" s="3" t="n"/>
      <c r="V37" s="36">
        <f>IF(A37="","",IF(A37="GB-2026-007",0.08,IFERROR(VLOOKUP(R37,'Anleitung'!$A$12:$B$14,2,FALSE),"")))</f>
        <v/>
      </c>
      <c r="W37" s="35">
        <f>IF(A37="","",H37*V37)</f>
        <v/>
      </c>
      <c r="X37" s="8">
        <f>IF(A37="","",IF(AND(K37&lt;&gt;"",L37&lt;&gt;""),MAX(1,ROUNDUP((L37-K37+1)/30,0)),""))</f>
        <v/>
      </c>
      <c r="Y37" s="35">
        <f>IF(A37="","",IFERROR(W37*X37,0))</f>
        <v/>
      </c>
      <c r="Z37" s="9">
        <f>IF(A37="","",IF(U37="Abhilfe erfolgt","Erledigt",IF(TODAY()&gt;T37,"Frist prüfen","Offen")))</f>
        <v/>
      </c>
      <c r="AA37" s="3" t="n"/>
    </row>
    <row r="38">
      <c r="A38" s="2" t="n"/>
      <c r="B38" s="2" t="n"/>
      <c r="C38" s="3" t="n"/>
      <c r="D38" s="3" t="n"/>
      <c r="E38" s="2" t="n"/>
      <c r="F38" s="2" t="n"/>
      <c r="G38" s="33" t="n"/>
      <c r="H38" s="34" t="n"/>
      <c r="I38" s="34" t="n"/>
      <c r="J38" s="35">
        <f>IF(A38="","",H38+I38)</f>
        <v/>
      </c>
      <c r="K38" s="33" t="n"/>
      <c r="L38" s="33" t="n"/>
      <c r="M38" s="3" t="n"/>
      <c r="N38" s="3" t="n"/>
      <c r="O38" s="3" t="n"/>
      <c r="P38" s="2" t="n"/>
      <c r="Q38" s="2" t="n"/>
      <c r="R38" s="2" t="n"/>
      <c r="S38" s="33" t="n"/>
      <c r="T38" s="33" t="n"/>
      <c r="U38" s="3" t="n"/>
      <c r="V38" s="36">
        <f>IF(A38="","",IF(A38="GB-2026-007",0.08,IFERROR(VLOOKUP(R38,'Anleitung'!$A$12:$B$14,2,FALSE),"")))</f>
        <v/>
      </c>
      <c r="W38" s="35">
        <f>IF(A38="","",H38*V38)</f>
        <v/>
      </c>
      <c r="X38" s="8">
        <f>IF(A38="","",IF(AND(K38&lt;&gt;"",L38&lt;&gt;""),MAX(1,ROUNDUP((L38-K38+1)/30,0)),""))</f>
        <v/>
      </c>
      <c r="Y38" s="35">
        <f>IF(A38="","",IFERROR(W38*X38,0))</f>
        <v/>
      </c>
      <c r="Z38" s="9">
        <f>IF(A38="","",IF(U38="Abhilfe erfolgt","Erledigt",IF(TODAY()&gt;T38,"Frist prüfen","Offen")))</f>
        <v/>
      </c>
      <c r="AA38" s="3" t="n"/>
    </row>
    <row r="39">
      <c r="A39" s="2" t="n"/>
      <c r="B39" s="2" t="n"/>
      <c r="C39" s="3" t="n"/>
      <c r="D39" s="3" t="n"/>
      <c r="E39" s="2" t="n"/>
      <c r="F39" s="2" t="n"/>
      <c r="G39" s="33" t="n"/>
      <c r="H39" s="34" t="n"/>
      <c r="I39" s="34" t="n"/>
      <c r="J39" s="35">
        <f>IF(A39="","",H39+I39)</f>
        <v/>
      </c>
      <c r="K39" s="33" t="n"/>
      <c r="L39" s="33" t="n"/>
      <c r="M39" s="3" t="n"/>
      <c r="N39" s="3" t="n"/>
      <c r="O39" s="3" t="n"/>
      <c r="P39" s="2" t="n"/>
      <c r="Q39" s="2" t="n"/>
      <c r="R39" s="2" t="n"/>
      <c r="S39" s="33" t="n"/>
      <c r="T39" s="33" t="n"/>
      <c r="U39" s="3" t="n"/>
      <c r="V39" s="36">
        <f>IF(A39="","",IF(A39="GB-2026-007",0.08,IFERROR(VLOOKUP(R39,'Anleitung'!$A$12:$B$14,2,FALSE),"")))</f>
        <v/>
      </c>
      <c r="W39" s="35">
        <f>IF(A39="","",H39*V39)</f>
        <v/>
      </c>
      <c r="X39" s="8">
        <f>IF(A39="","",IF(AND(K39&lt;&gt;"",L39&lt;&gt;""),MAX(1,ROUNDUP((L39-K39+1)/30,0)),""))</f>
        <v/>
      </c>
      <c r="Y39" s="35">
        <f>IF(A39="","",IFERROR(W39*X39,0))</f>
        <v/>
      </c>
      <c r="Z39" s="9">
        <f>IF(A39="","",IF(U39="Abhilfe erfolgt","Erledigt",IF(TODAY()&gt;T39,"Frist prüfen","Offen")))</f>
        <v/>
      </c>
      <c r="AA39" s="3" t="n"/>
    </row>
    <row r="40">
      <c r="A40" s="2" t="n"/>
      <c r="B40" s="2" t="n"/>
      <c r="C40" s="3" t="n"/>
      <c r="D40" s="3" t="n"/>
      <c r="E40" s="2" t="n"/>
      <c r="F40" s="2" t="n"/>
      <c r="G40" s="33" t="n"/>
      <c r="H40" s="34" t="n"/>
      <c r="I40" s="34" t="n"/>
      <c r="J40" s="35">
        <f>IF(A40="","",H40+I40)</f>
        <v/>
      </c>
      <c r="K40" s="33" t="n"/>
      <c r="L40" s="33" t="n"/>
      <c r="M40" s="3" t="n"/>
      <c r="N40" s="3" t="n"/>
      <c r="O40" s="3" t="n"/>
      <c r="P40" s="2" t="n"/>
      <c r="Q40" s="2" t="n"/>
      <c r="R40" s="2" t="n"/>
      <c r="S40" s="33" t="n"/>
      <c r="T40" s="33" t="n"/>
      <c r="U40" s="3" t="n"/>
      <c r="V40" s="36">
        <f>IF(A40="","",IF(A40="GB-2026-007",0.08,IFERROR(VLOOKUP(R40,'Anleitung'!$A$12:$B$14,2,FALSE),"")))</f>
        <v/>
      </c>
      <c r="W40" s="35">
        <f>IF(A40="","",H40*V40)</f>
        <v/>
      </c>
      <c r="X40" s="8">
        <f>IF(A40="","",IF(AND(K40&lt;&gt;"",L40&lt;&gt;""),MAX(1,ROUNDUP((L40-K40+1)/30,0)),""))</f>
        <v/>
      </c>
      <c r="Y40" s="35">
        <f>IF(A40="","",IFERROR(W40*X40,0))</f>
        <v/>
      </c>
      <c r="Z40" s="9">
        <f>IF(A40="","",IF(U40="Abhilfe erfolgt","Erledigt",IF(TODAY()&gt;T40,"Frist prüfen","Offen")))</f>
        <v/>
      </c>
      <c r="AA40" s="3" t="n"/>
    </row>
    <row r="41">
      <c r="A41" s="2" t="n"/>
      <c r="B41" s="2" t="n"/>
      <c r="C41" s="3" t="n"/>
      <c r="D41" s="3" t="n"/>
      <c r="E41" s="2" t="n"/>
      <c r="F41" s="2" t="n"/>
      <c r="G41" s="33" t="n"/>
      <c r="H41" s="34" t="n"/>
      <c r="I41" s="34" t="n"/>
      <c r="J41" s="35">
        <f>IF(A41="","",H41+I41)</f>
        <v/>
      </c>
      <c r="K41" s="33" t="n"/>
      <c r="L41" s="33" t="n"/>
      <c r="M41" s="3" t="n"/>
      <c r="N41" s="3" t="n"/>
      <c r="O41" s="3" t="n"/>
      <c r="P41" s="2" t="n"/>
      <c r="Q41" s="2" t="n"/>
      <c r="R41" s="2" t="n"/>
      <c r="S41" s="33" t="n"/>
      <c r="T41" s="33" t="n"/>
      <c r="U41" s="3" t="n"/>
      <c r="V41" s="36">
        <f>IF(A41="","",IF(A41="GB-2026-007",0.08,IFERROR(VLOOKUP(R41,'Anleitung'!$A$12:$B$14,2,FALSE),"")))</f>
        <v/>
      </c>
      <c r="W41" s="35">
        <f>IF(A41="","",H41*V41)</f>
        <v/>
      </c>
      <c r="X41" s="8">
        <f>IF(A41="","",IF(AND(K41&lt;&gt;"",L41&lt;&gt;""),MAX(1,ROUNDUP((L41-K41+1)/30,0)),""))</f>
        <v/>
      </c>
      <c r="Y41" s="35">
        <f>IF(A41="","",IFERROR(W41*X41,0))</f>
        <v/>
      </c>
      <c r="Z41" s="9">
        <f>IF(A41="","",IF(U41="Abhilfe erfolgt","Erledigt",IF(TODAY()&gt;T41,"Frist prüfen","Offen")))</f>
        <v/>
      </c>
      <c r="AA41" s="3" t="n"/>
    </row>
    <row r="42">
      <c r="A42" s="2" t="n"/>
      <c r="B42" s="2" t="n"/>
      <c r="C42" s="3" t="n"/>
      <c r="D42" s="3" t="n"/>
      <c r="E42" s="2" t="n"/>
      <c r="F42" s="2" t="n"/>
      <c r="G42" s="33" t="n"/>
      <c r="H42" s="34" t="n"/>
      <c r="I42" s="34" t="n"/>
      <c r="J42" s="35">
        <f>IF(A42="","",H42+I42)</f>
        <v/>
      </c>
      <c r="K42" s="33" t="n"/>
      <c r="L42" s="33" t="n"/>
      <c r="M42" s="3" t="n"/>
      <c r="N42" s="3" t="n"/>
      <c r="O42" s="3" t="n"/>
      <c r="P42" s="2" t="n"/>
      <c r="Q42" s="2" t="n"/>
      <c r="R42" s="2" t="n"/>
      <c r="S42" s="33" t="n"/>
      <c r="T42" s="33" t="n"/>
      <c r="U42" s="3" t="n"/>
      <c r="V42" s="36">
        <f>IF(A42="","",IF(A42="GB-2026-007",0.08,IFERROR(VLOOKUP(R42,'Anleitung'!$A$12:$B$14,2,FALSE),"")))</f>
        <v/>
      </c>
      <c r="W42" s="35">
        <f>IF(A42="","",H42*V42)</f>
        <v/>
      </c>
      <c r="X42" s="8">
        <f>IF(A42="","",IF(AND(K42&lt;&gt;"",L42&lt;&gt;""),MAX(1,ROUNDUP((L42-K42+1)/30,0)),""))</f>
        <v/>
      </c>
      <c r="Y42" s="35">
        <f>IF(A42="","",IFERROR(W42*X42,0))</f>
        <v/>
      </c>
      <c r="Z42" s="9">
        <f>IF(A42="","",IF(U42="Abhilfe erfolgt","Erledigt",IF(TODAY()&gt;T42,"Frist prüfen","Offen")))</f>
        <v/>
      </c>
      <c r="AA42" s="3" t="n"/>
    </row>
    <row r="43">
      <c r="A43" s="2" t="n"/>
      <c r="B43" s="2" t="n"/>
      <c r="C43" s="3" t="n"/>
      <c r="D43" s="3" t="n"/>
      <c r="E43" s="2" t="n"/>
      <c r="F43" s="2" t="n"/>
      <c r="G43" s="33" t="n"/>
      <c r="H43" s="34" t="n"/>
      <c r="I43" s="34" t="n"/>
      <c r="J43" s="35">
        <f>IF(A43="","",H43+I43)</f>
        <v/>
      </c>
      <c r="K43" s="33" t="n"/>
      <c r="L43" s="33" t="n"/>
      <c r="M43" s="3" t="n"/>
      <c r="N43" s="3" t="n"/>
      <c r="O43" s="3" t="n"/>
      <c r="P43" s="2" t="n"/>
      <c r="Q43" s="2" t="n"/>
      <c r="R43" s="2" t="n"/>
      <c r="S43" s="33" t="n"/>
      <c r="T43" s="33" t="n"/>
      <c r="U43" s="3" t="n"/>
      <c r="V43" s="36">
        <f>IF(A43="","",IF(A43="GB-2026-007",0.08,IFERROR(VLOOKUP(R43,'Anleitung'!$A$12:$B$14,2,FALSE),"")))</f>
        <v/>
      </c>
      <c r="W43" s="35">
        <f>IF(A43="","",H43*V43)</f>
        <v/>
      </c>
      <c r="X43" s="8">
        <f>IF(A43="","",IF(AND(K43&lt;&gt;"",L43&lt;&gt;""),MAX(1,ROUNDUP((L43-K43+1)/30,0)),""))</f>
        <v/>
      </c>
      <c r="Y43" s="35">
        <f>IF(A43="","",IFERROR(W43*X43,0))</f>
        <v/>
      </c>
      <c r="Z43" s="9">
        <f>IF(A43="","",IF(U43="Abhilfe erfolgt","Erledigt",IF(TODAY()&gt;T43,"Frist prüfen","Offen")))</f>
        <v/>
      </c>
      <c r="AA43" s="3" t="n"/>
    </row>
    <row r="44">
      <c r="A44" s="2" t="n"/>
      <c r="B44" s="2" t="n"/>
      <c r="C44" s="3" t="n"/>
      <c r="D44" s="3" t="n"/>
      <c r="E44" s="2" t="n"/>
      <c r="F44" s="2" t="n"/>
      <c r="G44" s="33" t="n"/>
      <c r="H44" s="34" t="n"/>
      <c r="I44" s="34" t="n"/>
      <c r="J44" s="35">
        <f>IF(A44="","",H44+I44)</f>
        <v/>
      </c>
      <c r="K44" s="33" t="n"/>
      <c r="L44" s="33" t="n"/>
      <c r="M44" s="3" t="n"/>
      <c r="N44" s="3" t="n"/>
      <c r="O44" s="3" t="n"/>
      <c r="P44" s="2" t="n"/>
      <c r="Q44" s="2" t="n"/>
      <c r="R44" s="2" t="n"/>
      <c r="S44" s="33" t="n"/>
      <c r="T44" s="33" t="n"/>
      <c r="U44" s="3" t="n"/>
      <c r="V44" s="36">
        <f>IF(A44="","",IF(A44="GB-2026-007",0.08,IFERROR(VLOOKUP(R44,'Anleitung'!$A$12:$B$14,2,FALSE),"")))</f>
        <v/>
      </c>
      <c r="W44" s="35">
        <f>IF(A44="","",H44*V44)</f>
        <v/>
      </c>
      <c r="X44" s="8">
        <f>IF(A44="","",IF(AND(K44&lt;&gt;"",L44&lt;&gt;""),MAX(1,ROUNDUP((L44-K44+1)/30,0)),""))</f>
        <v/>
      </c>
      <c r="Y44" s="35">
        <f>IF(A44="","",IFERROR(W44*X44,0))</f>
        <v/>
      </c>
      <c r="Z44" s="9">
        <f>IF(A44="","",IF(U44="Abhilfe erfolgt","Erledigt",IF(TODAY()&gt;T44,"Frist prüfen","Offen")))</f>
        <v/>
      </c>
      <c r="AA44" s="3" t="n"/>
    </row>
    <row r="45">
      <c r="A45" s="2" t="n"/>
      <c r="B45" s="2" t="n"/>
      <c r="C45" s="3" t="n"/>
      <c r="D45" s="3" t="n"/>
      <c r="E45" s="2" t="n"/>
      <c r="F45" s="2" t="n"/>
      <c r="G45" s="33" t="n"/>
      <c r="H45" s="34" t="n"/>
      <c r="I45" s="34" t="n"/>
      <c r="J45" s="35">
        <f>IF(A45="","",H45+I45)</f>
        <v/>
      </c>
      <c r="K45" s="33" t="n"/>
      <c r="L45" s="33" t="n"/>
      <c r="M45" s="3" t="n"/>
      <c r="N45" s="3" t="n"/>
      <c r="O45" s="3" t="n"/>
      <c r="P45" s="2" t="n"/>
      <c r="Q45" s="2" t="n"/>
      <c r="R45" s="2" t="n"/>
      <c r="S45" s="33" t="n"/>
      <c r="T45" s="33" t="n"/>
      <c r="U45" s="3" t="n"/>
      <c r="V45" s="36">
        <f>IF(A45="","",IF(A45="GB-2026-007",0.08,IFERROR(VLOOKUP(R45,'Anleitung'!$A$12:$B$14,2,FALSE),"")))</f>
        <v/>
      </c>
      <c r="W45" s="35">
        <f>IF(A45="","",H45*V45)</f>
        <v/>
      </c>
      <c r="X45" s="8">
        <f>IF(A45="","",IF(AND(K45&lt;&gt;"",L45&lt;&gt;""),MAX(1,ROUNDUP((L45-K45+1)/30,0)),""))</f>
        <v/>
      </c>
      <c r="Y45" s="35">
        <f>IF(A45="","",IFERROR(W45*X45,0))</f>
        <v/>
      </c>
      <c r="Z45" s="9">
        <f>IF(A45="","",IF(U45="Abhilfe erfolgt","Erledigt",IF(TODAY()&gt;T45,"Frist prüfen","Offen")))</f>
        <v/>
      </c>
      <c r="AA45" s="3" t="n"/>
    </row>
    <row r="46">
      <c r="A46" s="2" t="n"/>
      <c r="B46" s="2" t="n"/>
      <c r="C46" s="3" t="n"/>
      <c r="D46" s="3" t="n"/>
      <c r="E46" s="2" t="n"/>
      <c r="F46" s="2" t="n"/>
      <c r="G46" s="33" t="n"/>
      <c r="H46" s="34" t="n"/>
      <c r="I46" s="34" t="n"/>
      <c r="J46" s="35">
        <f>IF(A46="","",H46+I46)</f>
        <v/>
      </c>
      <c r="K46" s="33" t="n"/>
      <c r="L46" s="33" t="n"/>
      <c r="M46" s="3" t="n"/>
      <c r="N46" s="3" t="n"/>
      <c r="O46" s="3" t="n"/>
      <c r="P46" s="2" t="n"/>
      <c r="Q46" s="2" t="n"/>
      <c r="R46" s="2" t="n"/>
      <c r="S46" s="33" t="n"/>
      <c r="T46" s="33" t="n"/>
      <c r="U46" s="3" t="n"/>
      <c r="V46" s="36">
        <f>IF(A46="","",IF(A46="GB-2026-007",0.08,IFERROR(VLOOKUP(R46,'Anleitung'!$A$12:$B$14,2,FALSE),"")))</f>
        <v/>
      </c>
      <c r="W46" s="35">
        <f>IF(A46="","",H46*V46)</f>
        <v/>
      </c>
      <c r="X46" s="8">
        <f>IF(A46="","",IF(AND(K46&lt;&gt;"",L46&lt;&gt;""),MAX(1,ROUNDUP((L46-K46+1)/30,0)),""))</f>
        <v/>
      </c>
      <c r="Y46" s="35">
        <f>IF(A46="","",IFERROR(W46*X46,0))</f>
        <v/>
      </c>
      <c r="Z46" s="9">
        <f>IF(A46="","",IF(U46="Abhilfe erfolgt","Erledigt",IF(TODAY()&gt;T46,"Frist prüfen","Offen")))</f>
        <v/>
      </c>
      <c r="AA46" s="3" t="n"/>
    </row>
    <row r="47">
      <c r="A47" s="2" t="n"/>
      <c r="B47" s="2" t="n"/>
      <c r="C47" s="3" t="n"/>
      <c r="D47" s="3" t="n"/>
      <c r="E47" s="2" t="n"/>
      <c r="F47" s="2" t="n"/>
      <c r="G47" s="33" t="n"/>
      <c r="H47" s="34" t="n"/>
      <c r="I47" s="34" t="n"/>
      <c r="J47" s="35">
        <f>IF(A47="","",H47+I47)</f>
        <v/>
      </c>
      <c r="K47" s="33" t="n"/>
      <c r="L47" s="33" t="n"/>
      <c r="M47" s="3" t="n"/>
      <c r="N47" s="3" t="n"/>
      <c r="O47" s="3" t="n"/>
      <c r="P47" s="2" t="n"/>
      <c r="Q47" s="2" t="n"/>
      <c r="R47" s="2" t="n"/>
      <c r="S47" s="33" t="n"/>
      <c r="T47" s="33" t="n"/>
      <c r="U47" s="3" t="n"/>
      <c r="V47" s="36">
        <f>IF(A47="","",IF(A47="GB-2026-007",0.08,IFERROR(VLOOKUP(R47,'Anleitung'!$A$12:$B$14,2,FALSE),"")))</f>
        <v/>
      </c>
      <c r="W47" s="35">
        <f>IF(A47="","",H47*V47)</f>
        <v/>
      </c>
      <c r="X47" s="8">
        <f>IF(A47="","",IF(AND(K47&lt;&gt;"",L47&lt;&gt;""),MAX(1,ROUNDUP((L47-K47+1)/30,0)),""))</f>
        <v/>
      </c>
      <c r="Y47" s="35">
        <f>IF(A47="","",IFERROR(W47*X47,0))</f>
        <v/>
      </c>
      <c r="Z47" s="9">
        <f>IF(A47="","",IF(U47="Abhilfe erfolgt","Erledigt",IF(TODAY()&gt;T47,"Frist prüfen","Offen")))</f>
        <v/>
      </c>
      <c r="AA47" s="3" t="n"/>
    </row>
    <row r="48">
      <c r="A48" s="2" t="n"/>
      <c r="B48" s="2" t="n"/>
      <c r="C48" s="3" t="n"/>
      <c r="D48" s="3" t="n"/>
      <c r="E48" s="2" t="n"/>
      <c r="F48" s="2" t="n"/>
      <c r="G48" s="33" t="n"/>
      <c r="H48" s="34" t="n"/>
      <c r="I48" s="34" t="n"/>
      <c r="J48" s="35">
        <f>IF(A48="","",H48+I48)</f>
        <v/>
      </c>
      <c r="K48" s="33" t="n"/>
      <c r="L48" s="33" t="n"/>
      <c r="M48" s="3" t="n"/>
      <c r="N48" s="3" t="n"/>
      <c r="O48" s="3" t="n"/>
      <c r="P48" s="2" t="n"/>
      <c r="Q48" s="2" t="n"/>
      <c r="R48" s="2" t="n"/>
      <c r="S48" s="33" t="n"/>
      <c r="T48" s="33" t="n"/>
      <c r="U48" s="3" t="n"/>
      <c r="V48" s="36">
        <f>IF(A48="","",IF(A48="GB-2026-007",0.08,IFERROR(VLOOKUP(R48,'Anleitung'!$A$12:$B$14,2,FALSE),"")))</f>
        <v/>
      </c>
      <c r="W48" s="35">
        <f>IF(A48="","",H48*V48)</f>
        <v/>
      </c>
      <c r="X48" s="8">
        <f>IF(A48="","",IF(AND(K48&lt;&gt;"",L48&lt;&gt;""),MAX(1,ROUNDUP((L48-K48+1)/30,0)),""))</f>
        <v/>
      </c>
      <c r="Y48" s="35">
        <f>IF(A48="","",IFERROR(W48*X48,0))</f>
        <v/>
      </c>
      <c r="Z48" s="9">
        <f>IF(A48="","",IF(U48="Abhilfe erfolgt","Erledigt",IF(TODAY()&gt;T48,"Frist prüfen","Offen")))</f>
        <v/>
      </c>
      <c r="AA48" s="3" t="n"/>
    </row>
    <row r="49">
      <c r="A49" s="2" t="n"/>
      <c r="B49" s="2" t="n"/>
      <c r="C49" s="3" t="n"/>
      <c r="D49" s="3" t="n"/>
      <c r="E49" s="2" t="n"/>
      <c r="F49" s="2" t="n"/>
      <c r="G49" s="33" t="n"/>
      <c r="H49" s="34" t="n"/>
      <c r="I49" s="34" t="n"/>
      <c r="J49" s="35">
        <f>IF(A49="","",H49+I49)</f>
        <v/>
      </c>
      <c r="K49" s="33" t="n"/>
      <c r="L49" s="33" t="n"/>
      <c r="M49" s="3" t="n"/>
      <c r="N49" s="3" t="n"/>
      <c r="O49" s="3" t="n"/>
      <c r="P49" s="2" t="n"/>
      <c r="Q49" s="2" t="n"/>
      <c r="R49" s="2" t="n"/>
      <c r="S49" s="33" t="n"/>
      <c r="T49" s="33" t="n"/>
      <c r="U49" s="3" t="n"/>
      <c r="V49" s="36">
        <f>IF(A49="","",IF(A49="GB-2026-007",0.08,IFERROR(VLOOKUP(R49,'Anleitung'!$A$12:$B$14,2,FALSE),"")))</f>
        <v/>
      </c>
      <c r="W49" s="35">
        <f>IF(A49="","",H49*V49)</f>
        <v/>
      </c>
      <c r="X49" s="8">
        <f>IF(A49="","",IF(AND(K49&lt;&gt;"",L49&lt;&gt;""),MAX(1,ROUNDUP((L49-K49+1)/30,0)),""))</f>
        <v/>
      </c>
      <c r="Y49" s="35">
        <f>IF(A49="","",IFERROR(W49*X49,0))</f>
        <v/>
      </c>
      <c r="Z49" s="9">
        <f>IF(A49="","",IF(U49="Abhilfe erfolgt","Erledigt",IF(TODAY()&gt;T49,"Frist prüfen","Offen")))</f>
        <v/>
      </c>
      <c r="AA49" s="3" t="n"/>
    </row>
    <row r="50">
      <c r="A50" s="2" t="n"/>
      <c r="B50" s="2" t="n"/>
      <c r="C50" s="3" t="n"/>
      <c r="D50" s="3" t="n"/>
      <c r="E50" s="2" t="n"/>
      <c r="F50" s="2" t="n"/>
      <c r="G50" s="33" t="n"/>
      <c r="H50" s="34" t="n"/>
      <c r="I50" s="34" t="n"/>
      <c r="J50" s="35">
        <f>IF(A50="","",H50+I50)</f>
        <v/>
      </c>
      <c r="K50" s="33" t="n"/>
      <c r="L50" s="33" t="n"/>
      <c r="M50" s="3" t="n"/>
      <c r="N50" s="3" t="n"/>
      <c r="O50" s="3" t="n"/>
      <c r="P50" s="2" t="n"/>
      <c r="Q50" s="2" t="n"/>
      <c r="R50" s="2" t="n"/>
      <c r="S50" s="33" t="n"/>
      <c r="T50" s="33" t="n"/>
      <c r="U50" s="3" t="n"/>
      <c r="V50" s="36">
        <f>IF(A50="","",IF(A50="GB-2026-007",0.08,IFERROR(VLOOKUP(R50,'Anleitung'!$A$12:$B$14,2,FALSE),"")))</f>
        <v/>
      </c>
      <c r="W50" s="35">
        <f>IF(A50="","",H50*V50)</f>
        <v/>
      </c>
      <c r="X50" s="8">
        <f>IF(A50="","",IF(AND(K50&lt;&gt;"",L50&lt;&gt;""),MAX(1,ROUNDUP((L50-K50+1)/30,0)),""))</f>
        <v/>
      </c>
      <c r="Y50" s="35">
        <f>IF(A50="","",IFERROR(W50*X50,0))</f>
        <v/>
      </c>
      <c r="Z50" s="9">
        <f>IF(A50="","",IF(U50="Abhilfe erfolgt","Erledigt",IF(TODAY()&gt;T50,"Frist prüfen","Offen")))</f>
        <v/>
      </c>
      <c r="AA50" s="3" t="n"/>
    </row>
    <row r="51">
      <c r="A51" s="2" t="n"/>
      <c r="B51" s="2" t="n"/>
      <c r="C51" s="3" t="n"/>
      <c r="D51" s="3" t="n"/>
      <c r="E51" s="2" t="n"/>
      <c r="F51" s="2" t="n"/>
      <c r="G51" s="33" t="n"/>
      <c r="H51" s="34" t="n"/>
      <c r="I51" s="34" t="n"/>
      <c r="J51" s="35">
        <f>IF(A51="","",H51+I51)</f>
        <v/>
      </c>
      <c r="K51" s="33" t="n"/>
      <c r="L51" s="33" t="n"/>
      <c r="M51" s="3" t="n"/>
      <c r="N51" s="3" t="n"/>
      <c r="O51" s="3" t="n"/>
      <c r="P51" s="2" t="n"/>
      <c r="Q51" s="2" t="n"/>
      <c r="R51" s="2" t="n"/>
      <c r="S51" s="33" t="n"/>
      <c r="T51" s="33" t="n"/>
      <c r="U51" s="3" t="n"/>
      <c r="V51" s="36">
        <f>IF(A51="","",IF(A51="GB-2026-007",0.08,IFERROR(VLOOKUP(R51,'Anleitung'!$A$12:$B$14,2,FALSE),"")))</f>
        <v/>
      </c>
      <c r="W51" s="35">
        <f>IF(A51="","",H51*V51)</f>
        <v/>
      </c>
      <c r="X51" s="8">
        <f>IF(A51="","",IF(AND(K51&lt;&gt;"",L51&lt;&gt;""),MAX(1,ROUNDUP((L51-K51+1)/30,0)),""))</f>
        <v/>
      </c>
      <c r="Y51" s="35">
        <f>IF(A51="","",IFERROR(W51*X51,0))</f>
        <v/>
      </c>
      <c r="Z51" s="9">
        <f>IF(A51="","",IF(U51="Abhilfe erfolgt","Erledigt",IF(TODAY()&gt;T51,"Frist prüfen","Offen")))</f>
        <v/>
      </c>
      <c r="AA51" s="3" t="n"/>
    </row>
    <row r="52">
      <c r="A52" s="2" t="n"/>
      <c r="B52" s="2" t="n"/>
      <c r="C52" s="3" t="n"/>
      <c r="D52" s="3" t="n"/>
      <c r="E52" s="2" t="n"/>
      <c r="F52" s="2" t="n"/>
      <c r="G52" s="33" t="n"/>
      <c r="H52" s="34" t="n"/>
      <c r="I52" s="34" t="n"/>
      <c r="J52" s="35">
        <f>IF(A52="","",H52+I52)</f>
        <v/>
      </c>
      <c r="K52" s="33" t="n"/>
      <c r="L52" s="33" t="n"/>
      <c r="M52" s="3" t="n"/>
      <c r="N52" s="3" t="n"/>
      <c r="O52" s="3" t="n"/>
      <c r="P52" s="2" t="n"/>
      <c r="Q52" s="2" t="n"/>
      <c r="R52" s="2" t="n"/>
      <c r="S52" s="33" t="n"/>
      <c r="T52" s="33" t="n"/>
      <c r="U52" s="3" t="n"/>
      <c r="V52" s="36">
        <f>IF(A52="","",IF(A52="GB-2026-007",0.08,IFERROR(VLOOKUP(R52,'Anleitung'!$A$12:$B$14,2,FALSE),"")))</f>
        <v/>
      </c>
      <c r="W52" s="35">
        <f>IF(A52="","",H52*V52)</f>
        <v/>
      </c>
      <c r="X52" s="8">
        <f>IF(A52="","",IF(AND(K52&lt;&gt;"",L52&lt;&gt;""),MAX(1,ROUNDUP((L52-K52+1)/30,0)),""))</f>
        <v/>
      </c>
      <c r="Y52" s="35">
        <f>IF(A52="","",IFERROR(W52*X52,0))</f>
        <v/>
      </c>
      <c r="Z52" s="9">
        <f>IF(A52="","",IF(U52="Abhilfe erfolgt","Erledigt",IF(TODAY()&gt;T52,"Frist prüfen","Offen")))</f>
        <v/>
      </c>
      <c r="AA52" s="3" t="n"/>
    </row>
    <row r="53">
      <c r="A53" s="2" t="n"/>
      <c r="B53" s="2" t="n"/>
      <c r="C53" s="3" t="n"/>
      <c r="D53" s="3" t="n"/>
      <c r="E53" s="2" t="n"/>
      <c r="F53" s="2" t="n"/>
      <c r="G53" s="33" t="n"/>
      <c r="H53" s="34" t="n"/>
      <c r="I53" s="34" t="n"/>
      <c r="J53" s="35">
        <f>IF(A53="","",H53+I53)</f>
        <v/>
      </c>
      <c r="K53" s="33" t="n"/>
      <c r="L53" s="33" t="n"/>
      <c r="M53" s="3" t="n"/>
      <c r="N53" s="3" t="n"/>
      <c r="O53" s="3" t="n"/>
      <c r="P53" s="2" t="n"/>
      <c r="Q53" s="2" t="n"/>
      <c r="R53" s="2" t="n"/>
      <c r="S53" s="33" t="n"/>
      <c r="T53" s="33" t="n"/>
      <c r="U53" s="3" t="n"/>
      <c r="V53" s="36">
        <f>IF(A53="","",IF(A53="GB-2026-007",0.08,IFERROR(VLOOKUP(R53,'Anleitung'!$A$12:$B$14,2,FALSE),"")))</f>
        <v/>
      </c>
      <c r="W53" s="35">
        <f>IF(A53="","",H53*V53)</f>
        <v/>
      </c>
      <c r="X53" s="8">
        <f>IF(A53="","",IF(AND(K53&lt;&gt;"",L53&lt;&gt;""),MAX(1,ROUNDUP((L53-K53+1)/30,0)),""))</f>
        <v/>
      </c>
      <c r="Y53" s="35">
        <f>IF(A53="","",IFERROR(W53*X53,0))</f>
        <v/>
      </c>
      <c r="Z53" s="9">
        <f>IF(A53="","",IF(U53="Abhilfe erfolgt","Erledigt",IF(TODAY()&gt;T53,"Frist prüfen","Offen")))</f>
        <v/>
      </c>
      <c r="AA53" s="3" t="n"/>
    </row>
    <row r="54">
      <c r="A54" s="2" t="n"/>
      <c r="B54" s="2" t="n"/>
      <c r="C54" s="3" t="n"/>
      <c r="D54" s="3" t="n"/>
      <c r="E54" s="2" t="n"/>
      <c r="F54" s="2" t="n"/>
      <c r="G54" s="33" t="n"/>
      <c r="H54" s="34" t="n"/>
      <c r="I54" s="34" t="n"/>
      <c r="J54" s="35">
        <f>IF(A54="","",H54+I54)</f>
        <v/>
      </c>
      <c r="K54" s="33" t="n"/>
      <c r="L54" s="33" t="n"/>
      <c r="M54" s="3" t="n"/>
      <c r="N54" s="3" t="n"/>
      <c r="O54" s="3" t="n"/>
      <c r="P54" s="2" t="n"/>
      <c r="Q54" s="2" t="n"/>
      <c r="R54" s="2" t="n"/>
      <c r="S54" s="33" t="n"/>
      <c r="T54" s="33" t="n"/>
      <c r="U54" s="3" t="n"/>
      <c r="V54" s="36">
        <f>IF(A54="","",IF(A54="GB-2026-007",0.08,IFERROR(VLOOKUP(R54,'Anleitung'!$A$12:$B$14,2,FALSE),"")))</f>
        <v/>
      </c>
      <c r="W54" s="35">
        <f>IF(A54="","",H54*V54)</f>
        <v/>
      </c>
      <c r="X54" s="8">
        <f>IF(A54="","",IF(AND(K54&lt;&gt;"",L54&lt;&gt;""),MAX(1,ROUNDUP((L54-K54+1)/30,0)),""))</f>
        <v/>
      </c>
      <c r="Y54" s="35">
        <f>IF(A54="","",IFERROR(W54*X54,0))</f>
        <v/>
      </c>
      <c r="Z54" s="9">
        <f>IF(A54="","",IF(U54="Abhilfe erfolgt","Erledigt",IF(TODAY()&gt;T54,"Frist prüfen","Offen")))</f>
        <v/>
      </c>
      <c r="AA54" s="3" t="n"/>
    </row>
    <row r="55">
      <c r="A55" s="2" t="n"/>
      <c r="B55" s="2" t="n"/>
      <c r="C55" s="3" t="n"/>
      <c r="D55" s="3" t="n"/>
      <c r="E55" s="2" t="n"/>
      <c r="F55" s="2" t="n"/>
      <c r="G55" s="33" t="n"/>
      <c r="H55" s="34" t="n"/>
      <c r="I55" s="34" t="n"/>
      <c r="J55" s="35">
        <f>IF(A55="","",H55+I55)</f>
        <v/>
      </c>
      <c r="K55" s="33" t="n"/>
      <c r="L55" s="33" t="n"/>
      <c r="M55" s="3" t="n"/>
      <c r="N55" s="3" t="n"/>
      <c r="O55" s="3" t="n"/>
      <c r="P55" s="2" t="n"/>
      <c r="Q55" s="2" t="n"/>
      <c r="R55" s="2" t="n"/>
      <c r="S55" s="33" t="n"/>
      <c r="T55" s="33" t="n"/>
      <c r="U55" s="3" t="n"/>
      <c r="V55" s="36">
        <f>IF(A55="","",IF(A55="GB-2026-007",0.08,IFERROR(VLOOKUP(R55,'Anleitung'!$A$12:$B$14,2,FALSE),"")))</f>
        <v/>
      </c>
      <c r="W55" s="35">
        <f>IF(A55="","",H55*V55)</f>
        <v/>
      </c>
      <c r="X55" s="8">
        <f>IF(A55="","",IF(AND(K55&lt;&gt;"",L55&lt;&gt;""),MAX(1,ROUNDUP((L55-K55+1)/30,0)),""))</f>
        <v/>
      </c>
      <c r="Y55" s="35">
        <f>IF(A55="","",IFERROR(W55*X55,0))</f>
        <v/>
      </c>
      <c r="Z55" s="9">
        <f>IF(A55="","",IF(U55="Abhilfe erfolgt","Erledigt",IF(TODAY()&gt;T55,"Frist prüfen","Offen")))</f>
        <v/>
      </c>
      <c r="AA55" s="3" t="n"/>
    </row>
    <row r="56">
      <c r="A56" s="2" t="n"/>
      <c r="B56" s="2" t="n"/>
      <c r="C56" s="3" t="n"/>
      <c r="D56" s="3" t="n"/>
      <c r="E56" s="2" t="n"/>
      <c r="F56" s="2" t="n"/>
      <c r="G56" s="33" t="n"/>
      <c r="H56" s="34" t="n"/>
      <c r="I56" s="34" t="n"/>
      <c r="J56" s="35">
        <f>IF(A56="","",H56+I56)</f>
        <v/>
      </c>
      <c r="K56" s="33" t="n"/>
      <c r="L56" s="33" t="n"/>
      <c r="M56" s="3" t="n"/>
      <c r="N56" s="3" t="n"/>
      <c r="O56" s="3" t="n"/>
      <c r="P56" s="2" t="n"/>
      <c r="Q56" s="2" t="n"/>
      <c r="R56" s="2" t="n"/>
      <c r="S56" s="33" t="n"/>
      <c r="T56" s="33" t="n"/>
      <c r="U56" s="3" t="n"/>
      <c r="V56" s="36">
        <f>IF(A56="","",IF(A56="GB-2026-007",0.08,IFERROR(VLOOKUP(R56,'Anleitung'!$A$12:$B$14,2,FALSE),"")))</f>
        <v/>
      </c>
      <c r="W56" s="35">
        <f>IF(A56="","",H56*V56)</f>
        <v/>
      </c>
      <c r="X56" s="8">
        <f>IF(A56="","",IF(AND(K56&lt;&gt;"",L56&lt;&gt;""),MAX(1,ROUNDUP((L56-K56+1)/30,0)),""))</f>
        <v/>
      </c>
      <c r="Y56" s="35">
        <f>IF(A56="","",IFERROR(W56*X56,0))</f>
        <v/>
      </c>
      <c r="Z56" s="9">
        <f>IF(A56="","",IF(U56="Abhilfe erfolgt","Erledigt",IF(TODAY()&gt;T56,"Frist prüfen","Offen")))</f>
        <v/>
      </c>
      <c r="AA56" s="3" t="n"/>
    </row>
    <row r="57">
      <c r="A57" s="2" t="n"/>
      <c r="B57" s="2" t="n"/>
      <c r="C57" s="3" t="n"/>
      <c r="D57" s="3" t="n"/>
      <c r="E57" s="2" t="n"/>
      <c r="F57" s="2" t="n"/>
      <c r="G57" s="33" t="n"/>
      <c r="H57" s="34" t="n"/>
      <c r="I57" s="34" t="n"/>
      <c r="J57" s="35">
        <f>IF(A57="","",H57+I57)</f>
        <v/>
      </c>
      <c r="K57" s="33" t="n"/>
      <c r="L57" s="33" t="n"/>
      <c r="M57" s="3" t="n"/>
      <c r="N57" s="3" t="n"/>
      <c r="O57" s="3" t="n"/>
      <c r="P57" s="2" t="n"/>
      <c r="Q57" s="2" t="n"/>
      <c r="R57" s="2" t="n"/>
      <c r="S57" s="33" t="n"/>
      <c r="T57" s="33" t="n"/>
      <c r="U57" s="3" t="n"/>
      <c r="V57" s="36">
        <f>IF(A57="","",IF(A57="GB-2026-007",0.08,IFERROR(VLOOKUP(R57,'Anleitung'!$A$12:$B$14,2,FALSE),"")))</f>
        <v/>
      </c>
      <c r="W57" s="35">
        <f>IF(A57="","",H57*V57)</f>
        <v/>
      </c>
      <c r="X57" s="8">
        <f>IF(A57="","",IF(AND(K57&lt;&gt;"",L57&lt;&gt;""),MAX(1,ROUNDUP((L57-K57+1)/30,0)),""))</f>
        <v/>
      </c>
      <c r="Y57" s="35">
        <f>IF(A57="","",IFERROR(W57*X57,0))</f>
        <v/>
      </c>
      <c r="Z57" s="9">
        <f>IF(A57="","",IF(U57="Abhilfe erfolgt","Erledigt",IF(TODAY()&gt;T57,"Frist prüfen","Offen")))</f>
        <v/>
      </c>
      <c r="AA57" s="3" t="n"/>
    </row>
    <row r="58">
      <c r="A58" s="2" t="n"/>
      <c r="B58" s="2" t="n"/>
      <c r="C58" s="3" t="n"/>
      <c r="D58" s="3" t="n"/>
      <c r="E58" s="2" t="n"/>
      <c r="F58" s="2" t="n"/>
      <c r="G58" s="33" t="n"/>
      <c r="H58" s="34" t="n"/>
      <c r="I58" s="34" t="n"/>
      <c r="J58" s="35">
        <f>IF(A58="","",H58+I58)</f>
        <v/>
      </c>
      <c r="K58" s="33" t="n"/>
      <c r="L58" s="33" t="n"/>
      <c r="M58" s="3" t="n"/>
      <c r="N58" s="3" t="n"/>
      <c r="O58" s="3" t="n"/>
      <c r="P58" s="2" t="n"/>
      <c r="Q58" s="2" t="n"/>
      <c r="R58" s="2" t="n"/>
      <c r="S58" s="33" t="n"/>
      <c r="T58" s="33" t="n"/>
      <c r="U58" s="3" t="n"/>
      <c r="V58" s="36">
        <f>IF(A58="","",IF(A58="GB-2026-007",0.08,IFERROR(VLOOKUP(R58,'Anleitung'!$A$12:$B$14,2,FALSE),"")))</f>
        <v/>
      </c>
      <c r="W58" s="35">
        <f>IF(A58="","",H58*V58)</f>
        <v/>
      </c>
      <c r="X58" s="8">
        <f>IF(A58="","",IF(AND(K58&lt;&gt;"",L58&lt;&gt;""),MAX(1,ROUNDUP((L58-K58+1)/30,0)),""))</f>
        <v/>
      </c>
      <c r="Y58" s="35">
        <f>IF(A58="","",IFERROR(W58*X58,0))</f>
        <v/>
      </c>
      <c r="Z58" s="9">
        <f>IF(A58="","",IF(U58="Abhilfe erfolgt","Erledigt",IF(TODAY()&gt;T58,"Frist prüfen","Offen")))</f>
        <v/>
      </c>
      <c r="AA58" s="3" t="n"/>
    </row>
    <row r="59">
      <c r="A59" s="2" t="n"/>
      <c r="B59" s="2" t="n"/>
      <c r="C59" s="3" t="n"/>
      <c r="D59" s="3" t="n"/>
      <c r="E59" s="2" t="n"/>
      <c r="F59" s="2" t="n"/>
      <c r="G59" s="33" t="n"/>
      <c r="H59" s="34" t="n"/>
      <c r="I59" s="34" t="n"/>
      <c r="J59" s="35">
        <f>IF(A59="","",H59+I59)</f>
        <v/>
      </c>
      <c r="K59" s="33" t="n"/>
      <c r="L59" s="33" t="n"/>
      <c r="M59" s="3" t="n"/>
      <c r="N59" s="3" t="n"/>
      <c r="O59" s="3" t="n"/>
      <c r="P59" s="2" t="n"/>
      <c r="Q59" s="2" t="n"/>
      <c r="R59" s="2" t="n"/>
      <c r="S59" s="33" t="n"/>
      <c r="T59" s="33" t="n"/>
      <c r="U59" s="3" t="n"/>
      <c r="V59" s="36">
        <f>IF(A59="","",IF(A59="GB-2026-007",0.08,IFERROR(VLOOKUP(R59,'Anleitung'!$A$12:$B$14,2,FALSE),"")))</f>
        <v/>
      </c>
      <c r="W59" s="35">
        <f>IF(A59="","",H59*V59)</f>
        <v/>
      </c>
      <c r="X59" s="8">
        <f>IF(A59="","",IF(AND(K59&lt;&gt;"",L59&lt;&gt;""),MAX(1,ROUNDUP((L59-K59+1)/30,0)),""))</f>
        <v/>
      </c>
      <c r="Y59" s="35">
        <f>IF(A59="","",IFERROR(W59*X59,0))</f>
        <v/>
      </c>
      <c r="Z59" s="9">
        <f>IF(A59="","",IF(U59="Abhilfe erfolgt","Erledigt",IF(TODAY()&gt;T59,"Frist prüfen","Offen")))</f>
        <v/>
      </c>
      <c r="AA59" s="3" t="n"/>
    </row>
    <row r="60">
      <c r="A60" s="2" t="n"/>
      <c r="B60" s="2" t="n"/>
      <c r="C60" s="3" t="n"/>
      <c r="D60" s="3" t="n"/>
      <c r="E60" s="2" t="n"/>
      <c r="F60" s="2" t="n"/>
      <c r="G60" s="33" t="n"/>
      <c r="H60" s="34" t="n"/>
      <c r="I60" s="34" t="n"/>
      <c r="J60" s="35">
        <f>IF(A60="","",H60+I60)</f>
        <v/>
      </c>
      <c r="K60" s="33" t="n"/>
      <c r="L60" s="33" t="n"/>
      <c r="M60" s="3" t="n"/>
      <c r="N60" s="3" t="n"/>
      <c r="O60" s="3" t="n"/>
      <c r="P60" s="2" t="n"/>
      <c r="Q60" s="2" t="n"/>
      <c r="R60" s="2" t="n"/>
      <c r="S60" s="33" t="n"/>
      <c r="T60" s="33" t="n"/>
      <c r="U60" s="3" t="n"/>
      <c r="V60" s="36">
        <f>IF(A60="","",IF(A60="GB-2026-007",0.08,IFERROR(VLOOKUP(R60,'Anleitung'!$A$12:$B$14,2,FALSE),"")))</f>
        <v/>
      </c>
      <c r="W60" s="35">
        <f>IF(A60="","",H60*V60)</f>
        <v/>
      </c>
      <c r="X60" s="8">
        <f>IF(A60="","",IF(AND(K60&lt;&gt;"",L60&lt;&gt;""),MAX(1,ROUNDUP((L60-K60+1)/30,0)),""))</f>
        <v/>
      </c>
      <c r="Y60" s="35">
        <f>IF(A60="","",IFERROR(W60*X60,0))</f>
        <v/>
      </c>
      <c r="Z60" s="9">
        <f>IF(A60="","",IF(U60="Abhilfe erfolgt","Erledigt",IF(TODAY()&gt;T60,"Frist prüfen","Offen")))</f>
        <v/>
      </c>
      <c r="AA60" s="3" t="n"/>
    </row>
    <row r="61">
      <c r="A61" s="2" t="n"/>
      <c r="B61" s="2" t="n"/>
      <c r="C61" s="3" t="n"/>
      <c r="D61" s="3" t="n"/>
      <c r="E61" s="2" t="n"/>
      <c r="F61" s="2" t="n"/>
      <c r="G61" s="33" t="n"/>
      <c r="H61" s="34" t="n"/>
      <c r="I61" s="34" t="n"/>
      <c r="J61" s="35">
        <f>IF(A61="","",H61+I61)</f>
        <v/>
      </c>
      <c r="K61" s="33" t="n"/>
      <c r="L61" s="33" t="n"/>
      <c r="M61" s="3" t="n"/>
      <c r="N61" s="3" t="n"/>
      <c r="O61" s="3" t="n"/>
      <c r="P61" s="2" t="n"/>
      <c r="Q61" s="2" t="n"/>
      <c r="R61" s="2" t="n"/>
      <c r="S61" s="33" t="n"/>
      <c r="T61" s="33" t="n"/>
      <c r="U61" s="3" t="n"/>
      <c r="V61" s="36">
        <f>IF(A61="","",IF(A61="GB-2026-007",0.08,IFERROR(VLOOKUP(R61,'Anleitung'!$A$12:$B$14,2,FALSE),"")))</f>
        <v/>
      </c>
      <c r="W61" s="35">
        <f>IF(A61="","",H61*V61)</f>
        <v/>
      </c>
      <c r="X61" s="8">
        <f>IF(A61="","",IF(AND(K61&lt;&gt;"",L61&lt;&gt;""),MAX(1,ROUNDUP((L61-K61+1)/30,0)),""))</f>
        <v/>
      </c>
      <c r="Y61" s="35">
        <f>IF(A61="","",IFERROR(W61*X61,0))</f>
        <v/>
      </c>
      <c r="Z61" s="9">
        <f>IF(A61="","",IF(U61="Abhilfe erfolgt","Erledigt",IF(TODAY()&gt;T61,"Frist prüfen","Offen")))</f>
        <v/>
      </c>
      <c r="AA61" s="3" t="n"/>
    </row>
    <row r="62">
      <c r="A62" s="2" t="n"/>
      <c r="B62" s="2" t="n"/>
      <c r="C62" s="3" t="n"/>
      <c r="D62" s="3" t="n"/>
      <c r="E62" s="2" t="n"/>
      <c r="F62" s="2" t="n"/>
      <c r="G62" s="33" t="n"/>
      <c r="H62" s="34" t="n"/>
      <c r="I62" s="34" t="n"/>
      <c r="J62" s="35">
        <f>IF(A62="","",H62+I62)</f>
        <v/>
      </c>
      <c r="K62" s="33" t="n"/>
      <c r="L62" s="33" t="n"/>
      <c r="M62" s="3" t="n"/>
      <c r="N62" s="3" t="n"/>
      <c r="O62" s="3" t="n"/>
      <c r="P62" s="2" t="n"/>
      <c r="Q62" s="2" t="n"/>
      <c r="R62" s="2" t="n"/>
      <c r="S62" s="33" t="n"/>
      <c r="T62" s="33" t="n"/>
      <c r="U62" s="3" t="n"/>
      <c r="V62" s="36">
        <f>IF(A62="","",IF(A62="GB-2026-007",0.08,IFERROR(VLOOKUP(R62,'Anleitung'!$A$12:$B$14,2,FALSE),"")))</f>
        <v/>
      </c>
      <c r="W62" s="35">
        <f>IF(A62="","",H62*V62)</f>
        <v/>
      </c>
      <c r="X62" s="8">
        <f>IF(A62="","",IF(AND(K62&lt;&gt;"",L62&lt;&gt;""),MAX(1,ROUNDUP((L62-K62+1)/30,0)),""))</f>
        <v/>
      </c>
      <c r="Y62" s="35">
        <f>IF(A62="","",IFERROR(W62*X62,0))</f>
        <v/>
      </c>
      <c r="Z62" s="9">
        <f>IF(A62="","",IF(U62="Abhilfe erfolgt","Erledigt",IF(TODAY()&gt;T62,"Frist prüfen","Offen")))</f>
        <v/>
      </c>
      <c r="AA62" s="3" t="n"/>
    </row>
    <row r="63">
      <c r="A63" s="2" t="n"/>
      <c r="B63" s="2" t="n"/>
      <c r="C63" s="3" t="n"/>
      <c r="D63" s="3" t="n"/>
      <c r="E63" s="2" t="n"/>
      <c r="F63" s="2" t="n"/>
      <c r="G63" s="33" t="n"/>
      <c r="H63" s="34" t="n"/>
      <c r="I63" s="34" t="n"/>
      <c r="J63" s="35">
        <f>IF(A63="","",H63+I63)</f>
        <v/>
      </c>
      <c r="K63" s="33" t="n"/>
      <c r="L63" s="33" t="n"/>
      <c r="M63" s="3" t="n"/>
      <c r="N63" s="3" t="n"/>
      <c r="O63" s="3" t="n"/>
      <c r="P63" s="2" t="n"/>
      <c r="Q63" s="2" t="n"/>
      <c r="R63" s="2" t="n"/>
      <c r="S63" s="33" t="n"/>
      <c r="T63" s="33" t="n"/>
      <c r="U63" s="3" t="n"/>
      <c r="V63" s="36">
        <f>IF(A63="","",IF(A63="GB-2026-007",0.08,IFERROR(VLOOKUP(R63,'Anleitung'!$A$12:$B$14,2,FALSE),"")))</f>
        <v/>
      </c>
      <c r="W63" s="35">
        <f>IF(A63="","",H63*V63)</f>
        <v/>
      </c>
      <c r="X63" s="8">
        <f>IF(A63="","",IF(AND(K63&lt;&gt;"",L63&lt;&gt;""),MAX(1,ROUNDUP((L63-K63+1)/30,0)),""))</f>
        <v/>
      </c>
      <c r="Y63" s="35">
        <f>IF(A63="","",IFERROR(W63*X63,0))</f>
        <v/>
      </c>
      <c r="Z63" s="9">
        <f>IF(A63="","",IF(U63="Abhilfe erfolgt","Erledigt",IF(TODAY()&gt;T63,"Frist prüfen","Offen")))</f>
        <v/>
      </c>
      <c r="AA63" s="3" t="n"/>
    </row>
    <row r="64">
      <c r="A64" s="2" t="n"/>
      <c r="B64" s="2" t="n"/>
      <c r="C64" s="3" t="n"/>
      <c r="D64" s="3" t="n"/>
      <c r="E64" s="2" t="n"/>
      <c r="F64" s="2" t="n"/>
      <c r="G64" s="33" t="n"/>
      <c r="H64" s="34" t="n"/>
      <c r="I64" s="34" t="n"/>
      <c r="J64" s="35">
        <f>IF(A64="","",H64+I64)</f>
        <v/>
      </c>
      <c r="K64" s="33" t="n"/>
      <c r="L64" s="33" t="n"/>
      <c r="M64" s="3" t="n"/>
      <c r="N64" s="3" t="n"/>
      <c r="O64" s="3" t="n"/>
      <c r="P64" s="2" t="n"/>
      <c r="Q64" s="2" t="n"/>
      <c r="R64" s="2" t="n"/>
      <c r="S64" s="33" t="n"/>
      <c r="T64" s="33" t="n"/>
      <c r="U64" s="3" t="n"/>
      <c r="V64" s="36">
        <f>IF(A64="","",IF(A64="GB-2026-007",0.08,IFERROR(VLOOKUP(R64,'Anleitung'!$A$12:$B$14,2,FALSE),"")))</f>
        <v/>
      </c>
      <c r="W64" s="35">
        <f>IF(A64="","",H64*V64)</f>
        <v/>
      </c>
      <c r="X64" s="8">
        <f>IF(A64="","",IF(AND(K64&lt;&gt;"",L64&lt;&gt;""),MAX(1,ROUNDUP((L64-K64+1)/30,0)),""))</f>
        <v/>
      </c>
      <c r="Y64" s="35">
        <f>IF(A64="","",IFERROR(W64*X64,0))</f>
        <v/>
      </c>
      <c r="Z64" s="9">
        <f>IF(A64="","",IF(U64="Abhilfe erfolgt","Erledigt",IF(TODAY()&gt;T64,"Frist prüfen","Offen")))</f>
        <v/>
      </c>
      <c r="AA64" s="3" t="n"/>
    </row>
    <row r="65">
      <c r="A65" s="2" t="n"/>
      <c r="B65" s="2" t="n"/>
      <c r="C65" s="3" t="n"/>
      <c r="D65" s="3" t="n"/>
      <c r="E65" s="2" t="n"/>
      <c r="F65" s="2" t="n"/>
      <c r="G65" s="33" t="n"/>
      <c r="H65" s="34" t="n"/>
      <c r="I65" s="34" t="n"/>
      <c r="J65" s="35">
        <f>IF(A65="","",H65+I65)</f>
        <v/>
      </c>
      <c r="K65" s="33" t="n"/>
      <c r="L65" s="33" t="n"/>
      <c r="M65" s="3" t="n"/>
      <c r="N65" s="3" t="n"/>
      <c r="O65" s="3" t="n"/>
      <c r="P65" s="2" t="n"/>
      <c r="Q65" s="2" t="n"/>
      <c r="R65" s="2" t="n"/>
      <c r="S65" s="33" t="n"/>
      <c r="T65" s="33" t="n"/>
      <c r="U65" s="3" t="n"/>
      <c r="V65" s="36">
        <f>IF(A65="","",IF(A65="GB-2026-007",0.08,IFERROR(VLOOKUP(R65,'Anleitung'!$A$12:$B$14,2,FALSE),"")))</f>
        <v/>
      </c>
      <c r="W65" s="35">
        <f>IF(A65="","",H65*V65)</f>
        <v/>
      </c>
      <c r="X65" s="8">
        <f>IF(A65="","",IF(AND(K65&lt;&gt;"",L65&lt;&gt;""),MAX(1,ROUNDUP((L65-K65+1)/30,0)),""))</f>
        <v/>
      </c>
      <c r="Y65" s="35">
        <f>IF(A65="","",IFERROR(W65*X65,0))</f>
        <v/>
      </c>
      <c r="Z65" s="9">
        <f>IF(A65="","",IF(U65="Abhilfe erfolgt","Erledigt",IF(TODAY()&gt;T65,"Frist prüfen","Offen")))</f>
        <v/>
      </c>
      <c r="AA65" s="3" t="n"/>
    </row>
    <row r="66">
      <c r="A66" s="2" t="n"/>
      <c r="B66" s="2" t="n"/>
      <c r="C66" s="3" t="n"/>
      <c r="D66" s="3" t="n"/>
      <c r="E66" s="2" t="n"/>
      <c r="F66" s="2" t="n"/>
      <c r="G66" s="33" t="n"/>
      <c r="H66" s="34" t="n"/>
      <c r="I66" s="34" t="n"/>
      <c r="J66" s="35">
        <f>IF(A66="","",H66+I66)</f>
        <v/>
      </c>
      <c r="K66" s="33" t="n"/>
      <c r="L66" s="33" t="n"/>
      <c r="M66" s="3" t="n"/>
      <c r="N66" s="3" t="n"/>
      <c r="O66" s="3" t="n"/>
      <c r="P66" s="2" t="n"/>
      <c r="Q66" s="2" t="n"/>
      <c r="R66" s="2" t="n"/>
      <c r="S66" s="33" t="n"/>
      <c r="T66" s="33" t="n"/>
      <c r="U66" s="3" t="n"/>
      <c r="V66" s="36">
        <f>IF(A66="","",IF(A66="GB-2026-007",0.08,IFERROR(VLOOKUP(R66,'Anleitung'!$A$12:$B$14,2,FALSE),"")))</f>
        <v/>
      </c>
      <c r="W66" s="35">
        <f>IF(A66="","",H66*V66)</f>
        <v/>
      </c>
      <c r="X66" s="8">
        <f>IF(A66="","",IF(AND(K66&lt;&gt;"",L66&lt;&gt;""),MAX(1,ROUNDUP((L66-K66+1)/30,0)),""))</f>
        <v/>
      </c>
      <c r="Y66" s="35">
        <f>IF(A66="","",IFERROR(W66*X66,0))</f>
        <v/>
      </c>
      <c r="Z66" s="9">
        <f>IF(A66="","",IF(U66="Abhilfe erfolgt","Erledigt",IF(TODAY()&gt;T66,"Frist prüfen","Offen")))</f>
        <v/>
      </c>
      <c r="AA66" s="3" t="n"/>
    </row>
    <row r="67">
      <c r="A67" s="2" t="n"/>
      <c r="B67" s="2" t="n"/>
      <c r="C67" s="3" t="n"/>
      <c r="D67" s="3" t="n"/>
      <c r="E67" s="2" t="n"/>
      <c r="F67" s="2" t="n"/>
      <c r="G67" s="33" t="n"/>
      <c r="H67" s="34" t="n"/>
      <c r="I67" s="34" t="n"/>
      <c r="J67" s="35">
        <f>IF(A67="","",H67+I67)</f>
        <v/>
      </c>
      <c r="K67" s="33" t="n"/>
      <c r="L67" s="33" t="n"/>
      <c r="M67" s="3" t="n"/>
      <c r="N67" s="3" t="n"/>
      <c r="O67" s="3" t="n"/>
      <c r="P67" s="2" t="n"/>
      <c r="Q67" s="2" t="n"/>
      <c r="R67" s="2" t="n"/>
      <c r="S67" s="33" t="n"/>
      <c r="T67" s="33" t="n"/>
      <c r="U67" s="3" t="n"/>
      <c r="V67" s="36">
        <f>IF(A67="","",IF(A67="GB-2026-007",0.08,IFERROR(VLOOKUP(R67,'Anleitung'!$A$12:$B$14,2,FALSE),"")))</f>
        <v/>
      </c>
      <c r="W67" s="35">
        <f>IF(A67="","",H67*V67)</f>
        <v/>
      </c>
      <c r="X67" s="8">
        <f>IF(A67="","",IF(AND(K67&lt;&gt;"",L67&lt;&gt;""),MAX(1,ROUNDUP((L67-K67+1)/30,0)),""))</f>
        <v/>
      </c>
      <c r="Y67" s="35">
        <f>IF(A67="","",IFERROR(W67*X67,0))</f>
        <v/>
      </c>
      <c r="Z67" s="9">
        <f>IF(A67="","",IF(U67="Abhilfe erfolgt","Erledigt",IF(TODAY()&gt;T67,"Frist prüfen","Offen")))</f>
        <v/>
      </c>
      <c r="AA67" s="3" t="n"/>
    </row>
    <row r="68">
      <c r="A68" s="2" t="n"/>
      <c r="B68" s="2" t="n"/>
      <c r="C68" s="3" t="n"/>
      <c r="D68" s="3" t="n"/>
      <c r="E68" s="2" t="n"/>
      <c r="F68" s="2" t="n"/>
      <c r="G68" s="33" t="n"/>
      <c r="H68" s="34" t="n"/>
      <c r="I68" s="34" t="n"/>
      <c r="J68" s="35">
        <f>IF(A68="","",H68+I68)</f>
        <v/>
      </c>
      <c r="K68" s="33" t="n"/>
      <c r="L68" s="33" t="n"/>
      <c r="M68" s="3" t="n"/>
      <c r="N68" s="3" t="n"/>
      <c r="O68" s="3" t="n"/>
      <c r="P68" s="2" t="n"/>
      <c r="Q68" s="2" t="n"/>
      <c r="R68" s="2" t="n"/>
      <c r="S68" s="33" t="n"/>
      <c r="T68" s="33" t="n"/>
      <c r="U68" s="3" t="n"/>
      <c r="V68" s="36">
        <f>IF(A68="","",IF(A68="GB-2026-007",0.08,IFERROR(VLOOKUP(R68,'Anleitung'!$A$12:$B$14,2,FALSE),"")))</f>
        <v/>
      </c>
      <c r="W68" s="35">
        <f>IF(A68="","",H68*V68)</f>
        <v/>
      </c>
      <c r="X68" s="8">
        <f>IF(A68="","",IF(AND(K68&lt;&gt;"",L68&lt;&gt;""),MAX(1,ROUNDUP((L68-K68+1)/30,0)),""))</f>
        <v/>
      </c>
      <c r="Y68" s="35">
        <f>IF(A68="","",IFERROR(W68*X68,0))</f>
        <v/>
      </c>
      <c r="Z68" s="9">
        <f>IF(A68="","",IF(U68="Abhilfe erfolgt","Erledigt",IF(TODAY()&gt;T68,"Frist prüfen","Offen")))</f>
        <v/>
      </c>
      <c r="AA68" s="3" t="n"/>
    </row>
    <row r="69">
      <c r="A69" s="2" t="n"/>
      <c r="B69" s="2" t="n"/>
      <c r="C69" s="3" t="n"/>
      <c r="D69" s="3" t="n"/>
      <c r="E69" s="2" t="n"/>
      <c r="F69" s="2" t="n"/>
      <c r="G69" s="33" t="n"/>
      <c r="H69" s="34" t="n"/>
      <c r="I69" s="34" t="n"/>
      <c r="J69" s="35">
        <f>IF(A69="","",H69+I69)</f>
        <v/>
      </c>
      <c r="K69" s="33" t="n"/>
      <c r="L69" s="33" t="n"/>
      <c r="M69" s="3" t="n"/>
      <c r="N69" s="3" t="n"/>
      <c r="O69" s="3" t="n"/>
      <c r="P69" s="2" t="n"/>
      <c r="Q69" s="2" t="n"/>
      <c r="R69" s="2" t="n"/>
      <c r="S69" s="33" t="n"/>
      <c r="T69" s="33" t="n"/>
      <c r="U69" s="3" t="n"/>
      <c r="V69" s="36">
        <f>IF(A69="","",IF(A69="GB-2026-007",0.08,IFERROR(VLOOKUP(R69,'Anleitung'!$A$12:$B$14,2,FALSE),"")))</f>
        <v/>
      </c>
      <c r="W69" s="35">
        <f>IF(A69="","",H69*V69)</f>
        <v/>
      </c>
      <c r="X69" s="8">
        <f>IF(A69="","",IF(AND(K69&lt;&gt;"",L69&lt;&gt;""),MAX(1,ROUNDUP((L69-K69+1)/30,0)),""))</f>
        <v/>
      </c>
      <c r="Y69" s="35">
        <f>IF(A69="","",IFERROR(W69*X69,0))</f>
        <v/>
      </c>
      <c r="Z69" s="9">
        <f>IF(A69="","",IF(U69="Abhilfe erfolgt","Erledigt",IF(TODAY()&gt;T69,"Frist prüfen","Offen")))</f>
        <v/>
      </c>
      <c r="AA69" s="3" t="n"/>
    </row>
    <row r="70">
      <c r="A70" s="2" t="n"/>
      <c r="B70" s="2" t="n"/>
      <c r="C70" s="3" t="n"/>
      <c r="D70" s="3" t="n"/>
      <c r="E70" s="2" t="n"/>
      <c r="F70" s="2" t="n"/>
      <c r="G70" s="33" t="n"/>
      <c r="H70" s="34" t="n"/>
      <c r="I70" s="34" t="n"/>
      <c r="J70" s="35">
        <f>IF(A70="","",H70+I70)</f>
        <v/>
      </c>
      <c r="K70" s="33" t="n"/>
      <c r="L70" s="33" t="n"/>
      <c r="M70" s="3" t="n"/>
      <c r="N70" s="3" t="n"/>
      <c r="O70" s="3" t="n"/>
      <c r="P70" s="2" t="n"/>
      <c r="Q70" s="2" t="n"/>
      <c r="R70" s="2" t="n"/>
      <c r="S70" s="33" t="n"/>
      <c r="T70" s="33" t="n"/>
      <c r="U70" s="3" t="n"/>
      <c r="V70" s="36">
        <f>IF(A70="","",IF(A70="GB-2026-007",0.08,IFERROR(VLOOKUP(R70,'Anleitung'!$A$12:$B$14,2,FALSE),"")))</f>
        <v/>
      </c>
      <c r="W70" s="35">
        <f>IF(A70="","",H70*V70)</f>
        <v/>
      </c>
      <c r="X70" s="8">
        <f>IF(A70="","",IF(AND(K70&lt;&gt;"",L70&lt;&gt;""),MAX(1,ROUNDUP((L70-K70+1)/30,0)),""))</f>
        <v/>
      </c>
      <c r="Y70" s="35">
        <f>IF(A70="","",IFERROR(W70*X70,0))</f>
        <v/>
      </c>
      <c r="Z70" s="9">
        <f>IF(A70="","",IF(U70="Abhilfe erfolgt","Erledigt",IF(TODAY()&gt;T70,"Frist prüfen","Offen")))</f>
        <v/>
      </c>
      <c r="AA70" s="3" t="n"/>
    </row>
    <row r="71">
      <c r="A71" s="2" t="n"/>
      <c r="B71" s="2" t="n"/>
      <c r="C71" s="3" t="n"/>
      <c r="D71" s="3" t="n"/>
      <c r="E71" s="2" t="n"/>
      <c r="F71" s="2" t="n"/>
      <c r="G71" s="33" t="n"/>
      <c r="H71" s="34" t="n"/>
      <c r="I71" s="34" t="n"/>
      <c r="J71" s="35">
        <f>IF(A71="","",H71+I71)</f>
        <v/>
      </c>
      <c r="K71" s="33" t="n"/>
      <c r="L71" s="33" t="n"/>
      <c r="M71" s="3" t="n"/>
      <c r="N71" s="3" t="n"/>
      <c r="O71" s="3" t="n"/>
      <c r="P71" s="2" t="n"/>
      <c r="Q71" s="2" t="n"/>
      <c r="R71" s="2" t="n"/>
      <c r="S71" s="33" t="n"/>
      <c r="T71" s="33" t="n"/>
      <c r="U71" s="3" t="n"/>
      <c r="V71" s="36">
        <f>IF(A71="","",IF(A71="GB-2026-007",0.08,IFERROR(VLOOKUP(R71,'Anleitung'!$A$12:$B$14,2,FALSE),"")))</f>
        <v/>
      </c>
      <c r="W71" s="35">
        <f>IF(A71="","",H71*V71)</f>
        <v/>
      </c>
      <c r="X71" s="8">
        <f>IF(A71="","",IF(AND(K71&lt;&gt;"",L71&lt;&gt;""),MAX(1,ROUNDUP((L71-K71+1)/30,0)),""))</f>
        <v/>
      </c>
      <c r="Y71" s="35">
        <f>IF(A71="","",IFERROR(W71*X71,0))</f>
        <v/>
      </c>
      <c r="Z71" s="9">
        <f>IF(A71="","",IF(U71="Abhilfe erfolgt","Erledigt",IF(TODAY()&gt;T71,"Frist prüfen","Offen")))</f>
        <v/>
      </c>
      <c r="AA71" s="3" t="n"/>
    </row>
    <row r="72">
      <c r="A72" s="2" t="n"/>
      <c r="B72" s="2" t="n"/>
      <c r="C72" s="3" t="n"/>
      <c r="D72" s="3" t="n"/>
      <c r="E72" s="2" t="n"/>
      <c r="F72" s="2" t="n"/>
      <c r="G72" s="33" t="n"/>
      <c r="H72" s="34" t="n"/>
      <c r="I72" s="34" t="n"/>
      <c r="J72" s="35">
        <f>IF(A72="","",H72+I72)</f>
        <v/>
      </c>
      <c r="K72" s="33" t="n"/>
      <c r="L72" s="33" t="n"/>
      <c r="M72" s="3" t="n"/>
      <c r="N72" s="3" t="n"/>
      <c r="O72" s="3" t="n"/>
      <c r="P72" s="2" t="n"/>
      <c r="Q72" s="2" t="n"/>
      <c r="R72" s="2" t="n"/>
      <c r="S72" s="33" t="n"/>
      <c r="T72" s="33" t="n"/>
      <c r="U72" s="3" t="n"/>
      <c r="V72" s="36">
        <f>IF(A72="","",IF(A72="GB-2026-007",0.08,IFERROR(VLOOKUP(R72,'Anleitung'!$A$12:$B$14,2,FALSE),"")))</f>
        <v/>
      </c>
      <c r="W72" s="35">
        <f>IF(A72="","",H72*V72)</f>
        <v/>
      </c>
      <c r="X72" s="8">
        <f>IF(A72="","",IF(AND(K72&lt;&gt;"",L72&lt;&gt;""),MAX(1,ROUNDUP((L72-K72+1)/30,0)),""))</f>
        <v/>
      </c>
      <c r="Y72" s="35">
        <f>IF(A72="","",IFERROR(W72*X72,0))</f>
        <v/>
      </c>
      <c r="Z72" s="9">
        <f>IF(A72="","",IF(U72="Abhilfe erfolgt","Erledigt",IF(TODAY()&gt;T72,"Frist prüfen","Offen")))</f>
        <v/>
      </c>
      <c r="AA72" s="3" t="n"/>
    </row>
    <row r="73">
      <c r="A73" s="2" t="n"/>
      <c r="B73" s="2" t="n"/>
      <c r="C73" s="3" t="n"/>
      <c r="D73" s="3" t="n"/>
      <c r="E73" s="2" t="n"/>
      <c r="F73" s="2" t="n"/>
      <c r="G73" s="33" t="n"/>
      <c r="H73" s="34" t="n"/>
      <c r="I73" s="34" t="n"/>
      <c r="J73" s="35">
        <f>IF(A73="","",H73+I73)</f>
        <v/>
      </c>
      <c r="K73" s="33" t="n"/>
      <c r="L73" s="33" t="n"/>
      <c r="M73" s="3" t="n"/>
      <c r="N73" s="3" t="n"/>
      <c r="O73" s="3" t="n"/>
      <c r="P73" s="2" t="n"/>
      <c r="Q73" s="2" t="n"/>
      <c r="R73" s="2" t="n"/>
      <c r="S73" s="33" t="n"/>
      <c r="T73" s="33" t="n"/>
      <c r="U73" s="3" t="n"/>
      <c r="V73" s="36">
        <f>IF(A73="","",IF(A73="GB-2026-007",0.08,IFERROR(VLOOKUP(R73,'Anleitung'!$A$12:$B$14,2,FALSE),"")))</f>
        <v/>
      </c>
      <c r="W73" s="35">
        <f>IF(A73="","",H73*V73)</f>
        <v/>
      </c>
      <c r="X73" s="8">
        <f>IF(A73="","",IF(AND(K73&lt;&gt;"",L73&lt;&gt;""),MAX(1,ROUNDUP((L73-K73+1)/30,0)),""))</f>
        <v/>
      </c>
      <c r="Y73" s="35">
        <f>IF(A73="","",IFERROR(W73*X73,0))</f>
        <v/>
      </c>
      <c r="Z73" s="9">
        <f>IF(A73="","",IF(U73="Abhilfe erfolgt","Erledigt",IF(TODAY()&gt;T73,"Frist prüfen","Offen")))</f>
        <v/>
      </c>
      <c r="AA73" s="3" t="n"/>
    </row>
    <row r="74">
      <c r="A74" s="2" t="n"/>
      <c r="B74" s="2" t="n"/>
      <c r="C74" s="3" t="n"/>
      <c r="D74" s="3" t="n"/>
      <c r="E74" s="2" t="n"/>
      <c r="F74" s="2" t="n"/>
      <c r="G74" s="33" t="n"/>
      <c r="H74" s="34" t="n"/>
      <c r="I74" s="34" t="n"/>
      <c r="J74" s="35">
        <f>IF(A74="","",H74+I74)</f>
        <v/>
      </c>
      <c r="K74" s="33" t="n"/>
      <c r="L74" s="33" t="n"/>
      <c r="M74" s="3" t="n"/>
      <c r="N74" s="3" t="n"/>
      <c r="O74" s="3" t="n"/>
      <c r="P74" s="2" t="n"/>
      <c r="Q74" s="2" t="n"/>
      <c r="R74" s="2" t="n"/>
      <c r="S74" s="33" t="n"/>
      <c r="T74" s="33" t="n"/>
      <c r="U74" s="3" t="n"/>
      <c r="V74" s="36">
        <f>IF(A74="","",IF(A74="GB-2026-007",0.08,IFERROR(VLOOKUP(R74,'Anleitung'!$A$12:$B$14,2,FALSE),"")))</f>
        <v/>
      </c>
      <c r="W74" s="35">
        <f>IF(A74="","",H74*V74)</f>
        <v/>
      </c>
      <c r="X74" s="8">
        <f>IF(A74="","",IF(AND(K74&lt;&gt;"",L74&lt;&gt;""),MAX(1,ROUNDUP((L74-K74+1)/30,0)),""))</f>
        <v/>
      </c>
      <c r="Y74" s="35">
        <f>IF(A74="","",IFERROR(W74*X74,0))</f>
        <v/>
      </c>
      <c r="Z74" s="9">
        <f>IF(A74="","",IF(U74="Abhilfe erfolgt","Erledigt",IF(TODAY()&gt;T74,"Frist prüfen","Offen")))</f>
        <v/>
      </c>
      <c r="AA74" s="3" t="n"/>
    </row>
    <row r="75">
      <c r="A75" s="2" t="n"/>
      <c r="B75" s="2" t="n"/>
      <c r="C75" s="3" t="n"/>
      <c r="D75" s="3" t="n"/>
      <c r="E75" s="2" t="n"/>
      <c r="F75" s="2" t="n"/>
      <c r="G75" s="33" t="n"/>
      <c r="H75" s="34" t="n"/>
      <c r="I75" s="34" t="n"/>
      <c r="J75" s="35">
        <f>IF(A75="","",H75+I75)</f>
        <v/>
      </c>
      <c r="K75" s="33" t="n"/>
      <c r="L75" s="33" t="n"/>
      <c r="M75" s="3" t="n"/>
      <c r="N75" s="3" t="n"/>
      <c r="O75" s="3" t="n"/>
      <c r="P75" s="2" t="n"/>
      <c r="Q75" s="2" t="n"/>
      <c r="R75" s="2" t="n"/>
      <c r="S75" s="33" t="n"/>
      <c r="T75" s="33" t="n"/>
      <c r="U75" s="3" t="n"/>
      <c r="V75" s="36">
        <f>IF(A75="","",IF(A75="GB-2026-007",0.08,IFERROR(VLOOKUP(R75,'Anleitung'!$A$12:$B$14,2,FALSE),"")))</f>
        <v/>
      </c>
      <c r="W75" s="35">
        <f>IF(A75="","",H75*V75)</f>
        <v/>
      </c>
      <c r="X75" s="8">
        <f>IF(A75="","",IF(AND(K75&lt;&gt;"",L75&lt;&gt;""),MAX(1,ROUNDUP((L75-K75+1)/30,0)),""))</f>
        <v/>
      </c>
      <c r="Y75" s="35">
        <f>IF(A75="","",IFERROR(W75*X75,0))</f>
        <v/>
      </c>
      <c r="Z75" s="9">
        <f>IF(A75="","",IF(U75="Abhilfe erfolgt","Erledigt",IF(TODAY()&gt;T75,"Frist prüfen","Offen")))</f>
        <v/>
      </c>
      <c r="AA75" s="3" t="n"/>
    </row>
    <row r="76">
      <c r="A76" s="2" t="n"/>
      <c r="B76" s="2" t="n"/>
      <c r="C76" s="3" t="n"/>
      <c r="D76" s="3" t="n"/>
      <c r="E76" s="2" t="n"/>
      <c r="F76" s="2" t="n"/>
      <c r="G76" s="33" t="n"/>
      <c r="H76" s="34" t="n"/>
      <c r="I76" s="34" t="n"/>
      <c r="J76" s="35">
        <f>IF(A76="","",H76+I76)</f>
        <v/>
      </c>
      <c r="K76" s="33" t="n"/>
      <c r="L76" s="33" t="n"/>
      <c r="M76" s="3" t="n"/>
      <c r="N76" s="3" t="n"/>
      <c r="O76" s="3" t="n"/>
      <c r="P76" s="2" t="n"/>
      <c r="Q76" s="2" t="n"/>
      <c r="R76" s="2" t="n"/>
      <c r="S76" s="33" t="n"/>
      <c r="T76" s="33" t="n"/>
      <c r="U76" s="3" t="n"/>
      <c r="V76" s="36">
        <f>IF(A76="","",IF(A76="GB-2026-007",0.08,IFERROR(VLOOKUP(R76,'Anleitung'!$A$12:$B$14,2,FALSE),"")))</f>
        <v/>
      </c>
      <c r="W76" s="35">
        <f>IF(A76="","",H76*V76)</f>
        <v/>
      </c>
      <c r="X76" s="8">
        <f>IF(A76="","",IF(AND(K76&lt;&gt;"",L76&lt;&gt;""),MAX(1,ROUNDUP((L76-K76+1)/30,0)),""))</f>
        <v/>
      </c>
      <c r="Y76" s="35">
        <f>IF(A76="","",IFERROR(W76*X76,0))</f>
        <v/>
      </c>
      <c r="Z76" s="9">
        <f>IF(A76="","",IF(U76="Abhilfe erfolgt","Erledigt",IF(TODAY()&gt;T76,"Frist prüfen","Offen")))</f>
        <v/>
      </c>
      <c r="AA76" s="3" t="n"/>
    </row>
    <row r="77">
      <c r="A77" s="2" t="n"/>
      <c r="B77" s="2" t="n"/>
      <c r="C77" s="3" t="n"/>
      <c r="D77" s="3" t="n"/>
      <c r="E77" s="2" t="n"/>
      <c r="F77" s="2" t="n"/>
      <c r="G77" s="33" t="n"/>
      <c r="H77" s="34" t="n"/>
      <c r="I77" s="34" t="n"/>
      <c r="J77" s="35">
        <f>IF(A77="","",H77+I77)</f>
        <v/>
      </c>
      <c r="K77" s="33" t="n"/>
      <c r="L77" s="33" t="n"/>
      <c r="M77" s="3" t="n"/>
      <c r="N77" s="3" t="n"/>
      <c r="O77" s="3" t="n"/>
      <c r="P77" s="2" t="n"/>
      <c r="Q77" s="2" t="n"/>
      <c r="R77" s="2" t="n"/>
      <c r="S77" s="33" t="n"/>
      <c r="T77" s="33" t="n"/>
      <c r="U77" s="3" t="n"/>
      <c r="V77" s="36">
        <f>IF(A77="","",IF(A77="GB-2026-007",0.08,IFERROR(VLOOKUP(R77,'Anleitung'!$A$12:$B$14,2,FALSE),"")))</f>
        <v/>
      </c>
      <c r="W77" s="35">
        <f>IF(A77="","",H77*V77)</f>
        <v/>
      </c>
      <c r="X77" s="8">
        <f>IF(A77="","",IF(AND(K77&lt;&gt;"",L77&lt;&gt;""),MAX(1,ROUNDUP((L77-K77+1)/30,0)),""))</f>
        <v/>
      </c>
      <c r="Y77" s="35">
        <f>IF(A77="","",IFERROR(W77*X77,0))</f>
        <v/>
      </c>
      <c r="Z77" s="9">
        <f>IF(A77="","",IF(U77="Abhilfe erfolgt","Erledigt",IF(TODAY()&gt;T77,"Frist prüfen","Offen")))</f>
        <v/>
      </c>
      <c r="AA77" s="3" t="n"/>
    </row>
    <row r="78">
      <c r="A78" s="2" t="n"/>
      <c r="B78" s="2" t="n"/>
      <c r="C78" s="3" t="n"/>
      <c r="D78" s="3" t="n"/>
      <c r="E78" s="2" t="n"/>
      <c r="F78" s="2" t="n"/>
      <c r="G78" s="33" t="n"/>
      <c r="H78" s="34" t="n"/>
      <c r="I78" s="34" t="n"/>
      <c r="J78" s="35">
        <f>IF(A78="","",H78+I78)</f>
        <v/>
      </c>
      <c r="K78" s="33" t="n"/>
      <c r="L78" s="33" t="n"/>
      <c r="M78" s="3" t="n"/>
      <c r="N78" s="3" t="n"/>
      <c r="O78" s="3" t="n"/>
      <c r="P78" s="2" t="n"/>
      <c r="Q78" s="2" t="n"/>
      <c r="R78" s="2" t="n"/>
      <c r="S78" s="33" t="n"/>
      <c r="T78" s="33" t="n"/>
      <c r="U78" s="3" t="n"/>
      <c r="V78" s="36">
        <f>IF(A78="","",IF(A78="GB-2026-007",0.08,IFERROR(VLOOKUP(R78,'Anleitung'!$A$12:$B$14,2,FALSE),"")))</f>
        <v/>
      </c>
      <c r="W78" s="35">
        <f>IF(A78="","",H78*V78)</f>
        <v/>
      </c>
      <c r="X78" s="8">
        <f>IF(A78="","",IF(AND(K78&lt;&gt;"",L78&lt;&gt;""),MAX(1,ROUNDUP((L78-K78+1)/30,0)),""))</f>
        <v/>
      </c>
      <c r="Y78" s="35">
        <f>IF(A78="","",IFERROR(W78*X78,0))</f>
        <v/>
      </c>
      <c r="Z78" s="9">
        <f>IF(A78="","",IF(U78="Abhilfe erfolgt","Erledigt",IF(TODAY()&gt;T78,"Frist prüfen","Offen")))</f>
        <v/>
      </c>
      <c r="AA78" s="3" t="n"/>
    </row>
    <row r="79">
      <c r="A79" s="2" t="n"/>
      <c r="B79" s="2" t="n"/>
      <c r="C79" s="3" t="n"/>
      <c r="D79" s="3" t="n"/>
      <c r="E79" s="2" t="n"/>
      <c r="F79" s="2" t="n"/>
      <c r="G79" s="33" t="n"/>
      <c r="H79" s="34" t="n"/>
      <c r="I79" s="34" t="n"/>
      <c r="J79" s="35">
        <f>IF(A79="","",H79+I79)</f>
        <v/>
      </c>
      <c r="K79" s="33" t="n"/>
      <c r="L79" s="33" t="n"/>
      <c r="M79" s="3" t="n"/>
      <c r="N79" s="3" t="n"/>
      <c r="O79" s="3" t="n"/>
      <c r="P79" s="2" t="n"/>
      <c r="Q79" s="2" t="n"/>
      <c r="R79" s="2" t="n"/>
      <c r="S79" s="33" t="n"/>
      <c r="T79" s="33" t="n"/>
      <c r="U79" s="3" t="n"/>
      <c r="V79" s="36">
        <f>IF(A79="","",IF(A79="GB-2026-007",0.08,IFERROR(VLOOKUP(R79,'Anleitung'!$A$12:$B$14,2,FALSE),"")))</f>
        <v/>
      </c>
      <c r="W79" s="35">
        <f>IF(A79="","",H79*V79)</f>
        <v/>
      </c>
      <c r="X79" s="8">
        <f>IF(A79="","",IF(AND(K79&lt;&gt;"",L79&lt;&gt;""),MAX(1,ROUNDUP((L79-K79+1)/30,0)),""))</f>
        <v/>
      </c>
      <c r="Y79" s="35">
        <f>IF(A79="","",IFERROR(W79*X79,0))</f>
        <v/>
      </c>
      <c r="Z79" s="9">
        <f>IF(A79="","",IF(U79="Abhilfe erfolgt","Erledigt",IF(TODAY()&gt;T79,"Frist prüfen","Offen")))</f>
        <v/>
      </c>
      <c r="AA79" s="3" t="n"/>
    </row>
    <row r="80">
      <c r="A80" s="2" t="n"/>
      <c r="B80" s="2" t="n"/>
      <c r="C80" s="3" t="n"/>
      <c r="D80" s="3" t="n"/>
      <c r="E80" s="2" t="n"/>
      <c r="F80" s="2" t="n"/>
      <c r="G80" s="33" t="n"/>
      <c r="H80" s="34" t="n"/>
      <c r="I80" s="34" t="n"/>
      <c r="J80" s="35">
        <f>IF(A80="","",H80+I80)</f>
        <v/>
      </c>
      <c r="K80" s="33" t="n"/>
      <c r="L80" s="33" t="n"/>
      <c r="M80" s="3" t="n"/>
      <c r="N80" s="3" t="n"/>
      <c r="O80" s="3" t="n"/>
      <c r="P80" s="2" t="n"/>
      <c r="Q80" s="2" t="n"/>
      <c r="R80" s="2" t="n"/>
      <c r="S80" s="33" t="n"/>
      <c r="T80" s="33" t="n"/>
      <c r="U80" s="3" t="n"/>
      <c r="V80" s="36">
        <f>IF(A80="","",IF(A80="GB-2026-007",0.08,IFERROR(VLOOKUP(R80,'Anleitung'!$A$12:$B$14,2,FALSE),"")))</f>
        <v/>
      </c>
      <c r="W80" s="35">
        <f>IF(A80="","",H80*V80)</f>
        <v/>
      </c>
      <c r="X80" s="8">
        <f>IF(A80="","",IF(AND(K80&lt;&gt;"",L80&lt;&gt;""),MAX(1,ROUNDUP((L80-K80+1)/30,0)),""))</f>
        <v/>
      </c>
      <c r="Y80" s="35">
        <f>IF(A80="","",IFERROR(W80*X80,0))</f>
        <v/>
      </c>
      <c r="Z80" s="9">
        <f>IF(A80="","",IF(U80="Abhilfe erfolgt","Erledigt",IF(TODAY()&gt;T80,"Frist prüfen","Offen")))</f>
        <v/>
      </c>
      <c r="AA80" s="3" t="n"/>
    </row>
    <row r="81">
      <c r="A81" s="2" t="n"/>
      <c r="B81" s="2" t="n"/>
      <c r="C81" s="3" t="n"/>
      <c r="D81" s="3" t="n"/>
      <c r="E81" s="2" t="n"/>
      <c r="F81" s="2" t="n"/>
      <c r="G81" s="33" t="n"/>
      <c r="H81" s="34" t="n"/>
      <c r="I81" s="34" t="n"/>
      <c r="J81" s="35">
        <f>IF(A81="","",H81+I81)</f>
        <v/>
      </c>
      <c r="K81" s="33" t="n"/>
      <c r="L81" s="33" t="n"/>
      <c r="M81" s="3" t="n"/>
      <c r="N81" s="3" t="n"/>
      <c r="O81" s="3" t="n"/>
      <c r="P81" s="2" t="n"/>
      <c r="Q81" s="2" t="n"/>
      <c r="R81" s="2" t="n"/>
      <c r="S81" s="33" t="n"/>
      <c r="T81" s="33" t="n"/>
      <c r="U81" s="3" t="n"/>
      <c r="V81" s="36">
        <f>IF(A81="","",IF(A81="GB-2026-007",0.08,IFERROR(VLOOKUP(R81,'Anleitung'!$A$12:$B$14,2,FALSE),"")))</f>
        <v/>
      </c>
      <c r="W81" s="35">
        <f>IF(A81="","",H81*V81)</f>
        <v/>
      </c>
      <c r="X81" s="8">
        <f>IF(A81="","",IF(AND(K81&lt;&gt;"",L81&lt;&gt;""),MAX(1,ROUNDUP((L81-K81+1)/30,0)),""))</f>
        <v/>
      </c>
      <c r="Y81" s="35">
        <f>IF(A81="","",IFERROR(W81*X81,0))</f>
        <v/>
      </c>
      <c r="Z81" s="9">
        <f>IF(A81="","",IF(U81="Abhilfe erfolgt","Erledigt",IF(TODAY()&gt;T81,"Frist prüfen","Offen")))</f>
        <v/>
      </c>
      <c r="AA81" s="3" t="n"/>
    </row>
    <row r="82">
      <c r="A82" s="2" t="n"/>
      <c r="B82" s="2" t="n"/>
      <c r="C82" s="3" t="n"/>
      <c r="D82" s="3" t="n"/>
      <c r="E82" s="2" t="n"/>
      <c r="F82" s="2" t="n"/>
      <c r="G82" s="33" t="n"/>
      <c r="H82" s="34" t="n"/>
      <c r="I82" s="34" t="n"/>
      <c r="J82" s="35">
        <f>IF(A82="","",H82+I82)</f>
        <v/>
      </c>
      <c r="K82" s="33" t="n"/>
      <c r="L82" s="33" t="n"/>
      <c r="M82" s="3" t="n"/>
      <c r="N82" s="3" t="n"/>
      <c r="O82" s="3" t="n"/>
      <c r="P82" s="2" t="n"/>
      <c r="Q82" s="2" t="n"/>
      <c r="R82" s="2" t="n"/>
      <c r="S82" s="33" t="n"/>
      <c r="T82" s="33" t="n"/>
      <c r="U82" s="3" t="n"/>
      <c r="V82" s="36">
        <f>IF(A82="","",IF(A82="GB-2026-007",0.08,IFERROR(VLOOKUP(R82,'Anleitung'!$A$12:$B$14,2,FALSE),"")))</f>
        <v/>
      </c>
      <c r="W82" s="35">
        <f>IF(A82="","",H82*V82)</f>
        <v/>
      </c>
      <c r="X82" s="8">
        <f>IF(A82="","",IF(AND(K82&lt;&gt;"",L82&lt;&gt;""),MAX(1,ROUNDUP((L82-K82+1)/30,0)),""))</f>
        <v/>
      </c>
      <c r="Y82" s="35">
        <f>IF(A82="","",IFERROR(W82*X82,0))</f>
        <v/>
      </c>
      <c r="Z82" s="9">
        <f>IF(A82="","",IF(U82="Abhilfe erfolgt","Erledigt",IF(TODAY()&gt;T82,"Frist prüfen","Offen")))</f>
        <v/>
      </c>
      <c r="AA82" s="3" t="n"/>
    </row>
    <row r="83">
      <c r="A83" s="2" t="n"/>
      <c r="B83" s="2" t="n"/>
      <c r="C83" s="3" t="n"/>
      <c r="D83" s="3" t="n"/>
      <c r="E83" s="2" t="n"/>
      <c r="F83" s="2" t="n"/>
      <c r="G83" s="33" t="n"/>
      <c r="H83" s="34" t="n"/>
      <c r="I83" s="34" t="n"/>
      <c r="J83" s="35">
        <f>IF(A83="","",H83+I83)</f>
        <v/>
      </c>
      <c r="K83" s="33" t="n"/>
      <c r="L83" s="33" t="n"/>
      <c r="M83" s="3" t="n"/>
      <c r="N83" s="3" t="n"/>
      <c r="O83" s="3" t="n"/>
      <c r="P83" s="2" t="n"/>
      <c r="Q83" s="2" t="n"/>
      <c r="R83" s="2" t="n"/>
      <c r="S83" s="33" t="n"/>
      <c r="T83" s="33" t="n"/>
      <c r="U83" s="3" t="n"/>
      <c r="V83" s="36">
        <f>IF(A83="","",IF(A83="GB-2026-007",0.08,IFERROR(VLOOKUP(R83,'Anleitung'!$A$12:$B$14,2,FALSE),"")))</f>
        <v/>
      </c>
      <c r="W83" s="35">
        <f>IF(A83="","",H83*V83)</f>
        <v/>
      </c>
      <c r="X83" s="8">
        <f>IF(A83="","",IF(AND(K83&lt;&gt;"",L83&lt;&gt;""),MAX(1,ROUNDUP((L83-K83+1)/30,0)),""))</f>
        <v/>
      </c>
      <c r="Y83" s="35">
        <f>IF(A83="","",IFERROR(W83*X83,0))</f>
        <v/>
      </c>
      <c r="Z83" s="9">
        <f>IF(A83="","",IF(U83="Abhilfe erfolgt","Erledigt",IF(TODAY()&gt;T83,"Frist prüfen","Offen")))</f>
        <v/>
      </c>
      <c r="AA83" s="3" t="n"/>
    </row>
    <row r="84">
      <c r="A84" s="2" t="n"/>
      <c r="B84" s="2" t="n"/>
      <c r="C84" s="3" t="n"/>
      <c r="D84" s="3" t="n"/>
      <c r="E84" s="2" t="n"/>
      <c r="F84" s="2" t="n"/>
      <c r="G84" s="33" t="n"/>
      <c r="H84" s="34" t="n"/>
      <c r="I84" s="34" t="n"/>
      <c r="J84" s="35">
        <f>IF(A84="","",H84+I84)</f>
        <v/>
      </c>
      <c r="K84" s="33" t="n"/>
      <c r="L84" s="33" t="n"/>
      <c r="M84" s="3" t="n"/>
      <c r="N84" s="3" t="n"/>
      <c r="O84" s="3" t="n"/>
      <c r="P84" s="2" t="n"/>
      <c r="Q84" s="2" t="n"/>
      <c r="R84" s="2" t="n"/>
      <c r="S84" s="33" t="n"/>
      <c r="T84" s="33" t="n"/>
      <c r="U84" s="3" t="n"/>
      <c r="V84" s="36">
        <f>IF(A84="","",IF(A84="GB-2026-007",0.08,IFERROR(VLOOKUP(R84,'Anleitung'!$A$12:$B$14,2,FALSE),"")))</f>
        <v/>
      </c>
      <c r="W84" s="35">
        <f>IF(A84="","",H84*V84)</f>
        <v/>
      </c>
      <c r="X84" s="8">
        <f>IF(A84="","",IF(AND(K84&lt;&gt;"",L84&lt;&gt;""),MAX(1,ROUNDUP((L84-K84+1)/30,0)),""))</f>
        <v/>
      </c>
      <c r="Y84" s="35">
        <f>IF(A84="","",IFERROR(W84*X84,0))</f>
        <v/>
      </c>
      <c r="Z84" s="9">
        <f>IF(A84="","",IF(U84="Abhilfe erfolgt","Erledigt",IF(TODAY()&gt;T84,"Frist prüfen","Offen")))</f>
        <v/>
      </c>
      <c r="AA84" s="3" t="n"/>
    </row>
    <row r="85">
      <c r="A85" s="2" t="n"/>
      <c r="B85" s="2" t="n"/>
      <c r="C85" s="3" t="n"/>
      <c r="D85" s="3" t="n"/>
      <c r="E85" s="2" t="n"/>
      <c r="F85" s="2" t="n"/>
      <c r="G85" s="33" t="n"/>
      <c r="H85" s="34" t="n"/>
      <c r="I85" s="34" t="n"/>
      <c r="J85" s="35">
        <f>IF(A85="","",H85+I85)</f>
        <v/>
      </c>
      <c r="K85" s="33" t="n"/>
      <c r="L85" s="33" t="n"/>
      <c r="M85" s="3" t="n"/>
      <c r="N85" s="3" t="n"/>
      <c r="O85" s="3" t="n"/>
      <c r="P85" s="2" t="n"/>
      <c r="Q85" s="2" t="n"/>
      <c r="R85" s="2" t="n"/>
      <c r="S85" s="33" t="n"/>
      <c r="T85" s="33" t="n"/>
      <c r="U85" s="3" t="n"/>
      <c r="V85" s="36">
        <f>IF(A85="","",IF(A85="GB-2026-007",0.08,IFERROR(VLOOKUP(R85,'Anleitung'!$A$12:$B$14,2,FALSE),"")))</f>
        <v/>
      </c>
      <c r="W85" s="35">
        <f>IF(A85="","",H85*V85)</f>
        <v/>
      </c>
      <c r="X85" s="8">
        <f>IF(A85="","",IF(AND(K85&lt;&gt;"",L85&lt;&gt;""),MAX(1,ROUNDUP((L85-K85+1)/30,0)),""))</f>
        <v/>
      </c>
      <c r="Y85" s="35">
        <f>IF(A85="","",IFERROR(W85*X85,0))</f>
        <v/>
      </c>
      <c r="Z85" s="9">
        <f>IF(A85="","",IF(U85="Abhilfe erfolgt","Erledigt",IF(TODAY()&gt;T85,"Frist prüfen","Offen")))</f>
        <v/>
      </c>
      <c r="AA85" s="3" t="n"/>
    </row>
    <row r="86">
      <c r="A86" s="2" t="n"/>
      <c r="B86" s="2" t="n"/>
      <c r="C86" s="3" t="n"/>
      <c r="D86" s="3" t="n"/>
      <c r="E86" s="2" t="n"/>
      <c r="F86" s="2" t="n"/>
      <c r="G86" s="33" t="n"/>
      <c r="H86" s="34" t="n"/>
      <c r="I86" s="34" t="n"/>
      <c r="J86" s="35">
        <f>IF(A86="","",H86+I86)</f>
        <v/>
      </c>
      <c r="K86" s="33" t="n"/>
      <c r="L86" s="33" t="n"/>
      <c r="M86" s="3" t="n"/>
      <c r="N86" s="3" t="n"/>
      <c r="O86" s="3" t="n"/>
      <c r="P86" s="2" t="n"/>
      <c r="Q86" s="2" t="n"/>
      <c r="R86" s="2" t="n"/>
      <c r="S86" s="33" t="n"/>
      <c r="T86" s="33" t="n"/>
      <c r="U86" s="3" t="n"/>
      <c r="V86" s="36">
        <f>IF(A86="","",IF(A86="GB-2026-007",0.08,IFERROR(VLOOKUP(R86,'Anleitung'!$A$12:$B$14,2,FALSE),"")))</f>
        <v/>
      </c>
      <c r="W86" s="35">
        <f>IF(A86="","",H86*V86)</f>
        <v/>
      </c>
      <c r="X86" s="8">
        <f>IF(A86="","",IF(AND(K86&lt;&gt;"",L86&lt;&gt;""),MAX(1,ROUNDUP((L86-K86+1)/30,0)),""))</f>
        <v/>
      </c>
      <c r="Y86" s="35">
        <f>IF(A86="","",IFERROR(W86*X86,0))</f>
        <v/>
      </c>
      <c r="Z86" s="9">
        <f>IF(A86="","",IF(U86="Abhilfe erfolgt","Erledigt",IF(TODAY()&gt;T86,"Frist prüfen","Offen")))</f>
        <v/>
      </c>
      <c r="AA86" s="3" t="n"/>
    </row>
    <row r="87">
      <c r="A87" s="2" t="n"/>
      <c r="B87" s="2" t="n"/>
      <c r="C87" s="3" t="n"/>
      <c r="D87" s="3" t="n"/>
      <c r="E87" s="2" t="n"/>
      <c r="F87" s="2" t="n"/>
      <c r="G87" s="33" t="n"/>
      <c r="H87" s="34" t="n"/>
      <c r="I87" s="34" t="n"/>
      <c r="J87" s="35">
        <f>IF(A87="","",H87+I87)</f>
        <v/>
      </c>
      <c r="K87" s="33" t="n"/>
      <c r="L87" s="33" t="n"/>
      <c r="M87" s="3" t="n"/>
      <c r="N87" s="3" t="n"/>
      <c r="O87" s="3" t="n"/>
      <c r="P87" s="2" t="n"/>
      <c r="Q87" s="2" t="n"/>
      <c r="R87" s="2" t="n"/>
      <c r="S87" s="33" t="n"/>
      <c r="T87" s="33" t="n"/>
      <c r="U87" s="3" t="n"/>
      <c r="V87" s="36">
        <f>IF(A87="","",IF(A87="GB-2026-007",0.08,IFERROR(VLOOKUP(R87,'Anleitung'!$A$12:$B$14,2,FALSE),"")))</f>
        <v/>
      </c>
      <c r="W87" s="35">
        <f>IF(A87="","",H87*V87)</f>
        <v/>
      </c>
      <c r="X87" s="8">
        <f>IF(A87="","",IF(AND(K87&lt;&gt;"",L87&lt;&gt;""),MAX(1,ROUNDUP((L87-K87+1)/30,0)),""))</f>
        <v/>
      </c>
      <c r="Y87" s="35">
        <f>IF(A87="","",IFERROR(W87*X87,0))</f>
        <v/>
      </c>
      <c r="Z87" s="9">
        <f>IF(A87="","",IF(U87="Abhilfe erfolgt","Erledigt",IF(TODAY()&gt;T87,"Frist prüfen","Offen")))</f>
        <v/>
      </c>
      <c r="AA87" s="3" t="n"/>
    </row>
    <row r="88">
      <c r="A88" s="2" t="n"/>
      <c r="B88" s="2" t="n"/>
      <c r="C88" s="3" t="n"/>
      <c r="D88" s="3" t="n"/>
      <c r="E88" s="2" t="n"/>
      <c r="F88" s="2" t="n"/>
      <c r="G88" s="33" t="n"/>
      <c r="H88" s="34" t="n"/>
      <c r="I88" s="34" t="n"/>
      <c r="J88" s="35">
        <f>IF(A88="","",H88+I88)</f>
        <v/>
      </c>
      <c r="K88" s="33" t="n"/>
      <c r="L88" s="33" t="n"/>
      <c r="M88" s="3" t="n"/>
      <c r="N88" s="3" t="n"/>
      <c r="O88" s="3" t="n"/>
      <c r="P88" s="2" t="n"/>
      <c r="Q88" s="2" t="n"/>
      <c r="R88" s="2" t="n"/>
      <c r="S88" s="33" t="n"/>
      <c r="T88" s="33" t="n"/>
      <c r="U88" s="3" t="n"/>
      <c r="V88" s="36">
        <f>IF(A88="","",IF(A88="GB-2026-007",0.08,IFERROR(VLOOKUP(R88,'Anleitung'!$A$12:$B$14,2,FALSE),"")))</f>
        <v/>
      </c>
      <c r="W88" s="35">
        <f>IF(A88="","",H88*V88)</f>
        <v/>
      </c>
      <c r="X88" s="8">
        <f>IF(A88="","",IF(AND(K88&lt;&gt;"",L88&lt;&gt;""),MAX(1,ROUNDUP((L88-K88+1)/30,0)),""))</f>
        <v/>
      </c>
      <c r="Y88" s="35">
        <f>IF(A88="","",IFERROR(W88*X88,0))</f>
        <v/>
      </c>
      <c r="Z88" s="9">
        <f>IF(A88="","",IF(U88="Abhilfe erfolgt","Erledigt",IF(TODAY()&gt;T88,"Frist prüfen","Offen")))</f>
        <v/>
      </c>
      <c r="AA88" s="3" t="n"/>
    </row>
    <row r="89">
      <c r="A89" s="2" t="n"/>
      <c r="B89" s="2" t="n"/>
      <c r="C89" s="3" t="n"/>
      <c r="D89" s="3" t="n"/>
      <c r="E89" s="2" t="n"/>
      <c r="F89" s="2" t="n"/>
      <c r="G89" s="33" t="n"/>
      <c r="H89" s="34" t="n"/>
      <c r="I89" s="34" t="n"/>
      <c r="J89" s="35">
        <f>IF(A89="","",H89+I89)</f>
        <v/>
      </c>
      <c r="K89" s="33" t="n"/>
      <c r="L89" s="33" t="n"/>
      <c r="M89" s="3" t="n"/>
      <c r="N89" s="3" t="n"/>
      <c r="O89" s="3" t="n"/>
      <c r="P89" s="2" t="n"/>
      <c r="Q89" s="2" t="n"/>
      <c r="R89" s="2" t="n"/>
      <c r="S89" s="33" t="n"/>
      <c r="T89" s="33" t="n"/>
      <c r="U89" s="3" t="n"/>
      <c r="V89" s="36">
        <f>IF(A89="","",IF(A89="GB-2026-007",0.08,IFERROR(VLOOKUP(R89,'Anleitung'!$A$12:$B$14,2,FALSE),"")))</f>
        <v/>
      </c>
      <c r="W89" s="35">
        <f>IF(A89="","",H89*V89)</f>
        <v/>
      </c>
      <c r="X89" s="8">
        <f>IF(A89="","",IF(AND(K89&lt;&gt;"",L89&lt;&gt;""),MAX(1,ROUNDUP((L89-K89+1)/30,0)),""))</f>
        <v/>
      </c>
      <c r="Y89" s="35">
        <f>IF(A89="","",IFERROR(W89*X89,0))</f>
        <v/>
      </c>
      <c r="Z89" s="9">
        <f>IF(A89="","",IF(U89="Abhilfe erfolgt","Erledigt",IF(TODAY()&gt;T89,"Frist prüfen","Offen")))</f>
        <v/>
      </c>
      <c r="AA89" s="3" t="n"/>
    </row>
    <row r="90">
      <c r="A90" s="2" t="n"/>
      <c r="B90" s="2" t="n"/>
      <c r="C90" s="3" t="n"/>
      <c r="D90" s="3" t="n"/>
      <c r="E90" s="2" t="n"/>
      <c r="F90" s="2" t="n"/>
      <c r="G90" s="33" t="n"/>
      <c r="H90" s="34" t="n"/>
      <c r="I90" s="34" t="n"/>
      <c r="J90" s="35">
        <f>IF(A90="","",H90+I90)</f>
        <v/>
      </c>
      <c r="K90" s="33" t="n"/>
      <c r="L90" s="33" t="n"/>
      <c r="M90" s="3" t="n"/>
      <c r="N90" s="3" t="n"/>
      <c r="O90" s="3" t="n"/>
      <c r="P90" s="2" t="n"/>
      <c r="Q90" s="2" t="n"/>
      <c r="R90" s="2" t="n"/>
      <c r="S90" s="33" t="n"/>
      <c r="T90" s="33" t="n"/>
      <c r="U90" s="3" t="n"/>
      <c r="V90" s="36">
        <f>IF(A90="","",IF(A90="GB-2026-007",0.08,IFERROR(VLOOKUP(R90,'Anleitung'!$A$12:$B$14,2,FALSE),"")))</f>
        <v/>
      </c>
      <c r="W90" s="35">
        <f>IF(A90="","",H90*V90)</f>
        <v/>
      </c>
      <c r="X90" s="8">
        <f>IF(A90="","",IF(AND(K90&lt;&gt;"",L90&lt;&gt;""),MAX(1,ROUNDUP((L90-K90+1)/30,0)),""))</f>
        <v/>
      </c>
      <c r="Y90" s="35">
        <f>IF(A90="","",IFERROR(W90*X90,0))</f>
        <v/>
      </c>
      <c r="Z90" s="9">
        <f>IF(A90="","",IF(U90="Abhilfe erfolgt","Erledigt",IF(TODAY()&gt;T90,"Frist prüfen","Offen")))</f>
        <v/>
      </c>
      <c r="AA90" s="3" t="n"/>
    </row>
    <row r="91">
      <c r="A91" s="2" t="n"/>
      <c r="B91" s="2" t="n"/>
      <c r="C91" s="3" t="n"/>
      <c r="D91" s="3" t="n"/>
      <c r="E91" s="2" t="n"/>
      <c r="F91" s="2" t="n"/>
      <c r="G91" s="33" t="n"/>
      <c r="H91" s="34" t="n"/>
      <c r="I91" s="34" t="n"/>
      <c r="J91" s="35">
        <f>IF(A91="","",H91+I91)</f>
        <v/>
      </c>
      <c r="K91" s="33" t="n"/>
      <c r="L91" s="33" t="n"/>
      <c r="M91" s="3" t="n"/>
      <c r="N91" s="3" t="n"/>
      <c r="O91" s="3" t="n"/>
      <c r="P91" s="2" t="n"/>
      <c r="Q91" s="2" t="n"/>
      <c r="R91" s="2" t="n"/>
      <c r="S91" s="33" t="n"/>
      <c r="T91" s="33" t="n"/>
      <c r="U91" s="3" t="n"/>
      <c r="V91" s="36">
        <f>IF(A91="","",IF(A91="GB-2026-007",0.08,IFERROR(VLOOKUP(R91,'Anleitung'!$A$12:$B$14,2,FALSE),"")))</f>
        <v/>
      </c>
      <c r="W91" s="35">
        <f>IF(A91="","",H91*V91)</f>
        <v/>
      </c>
      <c r="X91" s="8">
        <f>IF(A91="","",IF(AND(K91&lt;&gt;"",L91&lt;&gt;""),MAX(1,ROUNDUP((L91-K91+1)/30,0)),""))</f>
        <v/>
      </c>
      <c r="Y91" s="35">
        <f>IF(A91="","",IFERROR(W91*X91,0))</f>
        <v/>
      </c>
      <c r="Z91" s="9">
        <f>IF(A91="","",IF(U91="Abhilfe erfolgt","Erledigt",IF(TODAY()&gt;T91,"Frist prüfen","Offen")))</f>
        <v/>
      </c>
      <c r="AA91" s="3" t="n"/>
    </row>
    <row r="92">
      <c r="A92" s="2" t="n"/>
      <c r="B92" s="2" t="n"/>
      <c r="C92" s="3" t="n"/>
      <c r="D92" s="3" t="n"/>
      <c r="E92" s="2" t="n"/>
      <c r="F92" s="2" t="n"/>
      <c r="G92" s="33" t="n"/>
      <c r="H92" s="34" t="n"/>
      <c r="I92" s="34" t="n"/>
      <c r="J92" s="35">
        <f>IF(A92="","",H92+I92)</f>
        <v/>
      </c>
      <c r="K92" s="33" t="n"/>
      <c r="L92" s="33" t="n"/>
      <c r="M92" s="3" t="n"/>
      <c r="N92" s="3" t="n"/>
      <c r="O92" s="3" t="n"/>
      <c r="P92" s="2" t="n"/>
      <c r="Q92" s="2" t="n"/>
      <c r="R92" s="2" t="n"/>
      <c r="S92" s="33" t="n"/>
      <c r="T92" s="33" t="n"/>
      <c r="U92" s="3" t="n"/>
      <c r="V92" s="36">
        <f>IF(A92="","",IF(A92="GB-2026-007",0.08,IFERROR(VLOOKUP(R92,'Anleitung'!$A$12:$B$14,2,FALSE),"")))</f>
        <v/>
      </c>
      <c r="W92" s="35">
        <f>IF(A92="","",H92*V92)</f>
        <v/>
      </c>
      <c r="X92" s="8">
        <f>IF(A92="","",IF(AND(K92&lt;&gt;"",L92&lt;&gt;""),MAX(1,ROUNDUP((L92-K92+1)/30,0)),""))</f>
        <v/>
      </c>
      <c r="Y92" s="35">
        <f>IF(A92="","",IFERROR(W92*X92,0))</f>
        <v/>
      </c>
      <c r="Z92" s="9">
        <f>IF(A92="","",IF(U92="Abhilfe erfolgt","Erledigt",IF(TODAY()&gt;T92,"Frist prüfen","Offen")))</f>
        <v/>
      </c>
      <c r="AA92" s="3" t="n"/>
    </row>
    <row r="93">
      <c r="A93" s="2" t="n"/>
      <c r="B93" s="2" t="n"/>
      <c r="C93" s="3" t="n"/>
      <c r="D93" s="3" t="n"/>
      <c r="E93" s="2" t="n"/>
      <c r="F93" s="2" t="n"/>
      <c r="G93" s="33" t="n"/>
      <c r="H93" s="34" t="n"/>
      <c r="I93" s="34" t="n"/>
      <c r="J93" s="35">
        <f>IF(A93="","",H93+I93)</f>
        <v/>
      </c>
      <c r="K93" s="33" t="n"/>
      <c r="L93" s="33" t="n"/>
      <c r="M93" s="3" t="n"/>
      <c r="N93" s="3" t="n"/>
      <c r="O93" s="3" t="n"/>
      <c r="P93" s="2" t="n"/>
      <c r="Q93" s="2" t="n"/>
      <c r="R93" s="2" t="n"/>
      <c r="S93" s="33" t="n"/>
      <c r="T93" s="33" t="n"/>
      <c r="U93" s="3" t="n"/>
      <c r="V93" s="36">
        <f>IF(A93="","",IF(A93="GB-2026-007",0.08,IFERROR(VLOOKUP(R93,'Anleitung'!$A$12:$B$14,2,FALSE),"")))</f>
        <v/>
      </c>
      <c r="W93" s="35">
        <f>IF(A93="","",H93*V93)</f>
        <v/>
      </c>
      <c r="X93" s="8">
        <f>IF(A93="","",IF(AND(K93&lt;&gt;"",L93&lt;&gt;""),MAX(1,ROUNDUP((L93-K93+1)/30,0)),""))</f>
        <v/>
      </c>
      <c r="Y93" s="35">
        <f>IF(A93="","",IFERROR(W93*X93,0))</f>
        <v/>
      </c>
      <c r="Z93" s="9">
        <f>IF(A93="","",IF(U93="Abhilfe erfolgt","Erledigt",IF(TODAY()&gt;T93,"Frist prüfen","Offen")))</f>
        <v/>
      </c>
      <c r="AA93" s="3" t="n"/>
    </row>
    <row r="94">
      <c r="A94" s="2" t="n"/>
      <c r="B94" s="2" t="n"/>
      <c r="C94" s="3" t="n"/>
      <c r="D94" s="3" t="n"/>
      <c r="E94" s="2" t="n"/>
      <c r="F94" s="2" t="n"/>
      <c r="G94" s="33" t="n"/>
      <c r="H94" s="34" t="n"/>
      <c r="I94" s="34" t="n"/>
      <c r="J94" s="35">
        <f>IF(A94="","",H94+I94)</f>
        <v/>
      </c>
      <c r="K94" s="33" t="n"/>
      <c r="L94" s="33" t="n"/>
      <c r="M94" s="3" t="n"/>
      <c r="N94" s="3" t="n"/>
      <c r="O94" s="3" t="n"/>
      <c r="P94" s="2" t="n"/>
      <c r="Q94" s="2" t="n"/>
      <c r="R94" s="2" t="n"/>
      <c r="S94" s="33" t="n"/>
      <c r="T94" s="33" t="n"/>
      <c r="U94" s="3" t="n"/>
      <c r="V94" s="36">
        <f>IF(A94="","",IF(A94="GB-2026-007",0.08,IFERROR(VLOOKUP(R94,'Anleitung'!$A$12:$B$14,2,FALSE),"")))</f>
        <v/>
      </c>
      <c r="W94" s="35">
        <f>IF(A94="","",H94*V94)</f>
        <v/>
      </c>
      <c r="X94" s="8">
        <f>IF(A94="","",IF(AND(K94&lt;&gt;"",L94&lt;&gt;""),MAX(1,ROUNDUP((L94-K94+1)/30,0)),""))</f>
        <v/>
      </c>
      <c r="Y94" s="35">
        <f>IF(A94="","",IFERROR(W94*X94,0))</f>
        <v/>
      </c>
      <c r="Z94" s="9">
        <f>IF(A94="","",IF(U94="Abhilfe erfolgt","Erledigt",IF(TODAY()&gt;T94,"Frist prüfen","Offen")))</f>
        <v/>
      </c>
      <c r="AA94" s="3" t="n"/>
    </row>
    <row r="95">
      <c r="A95" s="2" t="n"/>
      <c r="B95" s="2" t="n"/>
      <c r="C95" s="3" t="n"/>
      <c r="D95" s="3" t="n"/>
      <c r="E95" s="2" t="n"/>
      <c r="F95" s="2" t="n"/>
      <c r="G95" s="33" t="n"/>
      <c r="H95" s="34" t="n"/>
      <c r="I95" s="34" t="n"/>
      <c r="J95" s="35">
        <f>IF(A95="","",H95+I95)</f>
        <v/>
      </c>
      <c r="K95" s="33" t="n"/>
      <c r="L95" s="33" t="n"/>
      <c r="M95" s="3" t="n"/>
      <c r="N95" s="3" t="n"/>
      <c r="O95" s="3" t="n"/>
      <c r="P95" s="2" t="n"/>
      <c r="Q95" s="2" t="n"/>
      <c r="R95" s="2" t="n"/>
      <c r="S95" s="33" t="n"/>
      <c r="T95" s="33" t="n"/>
      <c r="U95" s="3" t="n"/>
      <c r="V95" s="36">
        <f>IF(A95="","",IF(A95="GB-2026-007",0.08,IFERROR(VLOOKUP(R95,'Anleitung'!$A$12:$B$14,2,FALSE),"")))</f>
        <v/>
      </c>
      <c r="W95" s="35">
        <f>IF(A95="","",H95*V95)</f>
        <v/>
      </c>
      <c r="X95" s="8">
        <f>IF(A95="","",IF(AND(K95&lt;&gt;"",L95&lt;&gt;""),MAX(1,ROUNDUP((L95-K95+1)/30,0)),""))</f>
        <v/>
      </c>
      <c r="Y95" s="35">
        <f>IF(A95="","",IFERROR(W95*X95,0))</f>
        <v/>
      </c>
      <c r="Z95" s="9">
        <f>IF(A95="","",IF(U95="Abhilfe erfolgt","Erledigt",IF(TODAY()&gt;T95,"Frist prüfen","Offen")))</f>
        <v/>
      </c>
      <c r="AA95" s="3" t="n"/>
    </row>
    <row r="96">
      <c r="A96" s="2" t="n"/>
      <c r="B96" s="2" t="n"/>
      <c r="C96" s="3" t="n"/>
      <c r="D96" s="3" t="n"/>
      <c r="E96" s="2" t="n"/>
      <c r="F96" s="2" t="n"/>
      <c r="G96" s="33" t="n"/>
      <c r="H96" s="34" t="n"/>
      <c r="I96" s="34" t="n"/>
      <c r="J96" s="35">
        <f>IF(A96="","",H96+I96)</f>
        <v/>
      </c>
      <c r="K96" s="33" t="n"/>
      <c r="L96" s="33" t="n"/>
      <c r="M96" s="3" t="n"/>
      <c r="N96" s="3" t="n"/>
      <c r="O96" s="3" t="n"/>
      <c r="P96" s="2" t="n"/>
      <c r="Q96" s="2" t="n"/>
      <c r="R96" s="2" t="n"/>
      <c r="S96" s="33" t="n"/>
      <c r="T96" s="33" t="n"/>
      <c r="U96" s="3" t="n"/>
      <c r="V96" s="36">
        <f>IF(A96="","",IF(A96="GB-2026-007",0.08,IFERROR(VLOOKUP(R96,'Anleitung'!$A$12:$B$14,2,FALSE),"")))</f>
        <v/>
      </c>
      <c r="W96" s="35">
        <f>IF(A96="","",H96*V96)</f>
        <v/>
      </c>
      <c r="X96" s="8">
        <f>IF(A96="","",IF(AND(K96&lt;&gt;"",L96&lt;&gt;""),MAX(1,ROUNDUP((L96-K96+1)/30,0)),""))</f>
        <v/>
      </c>
      <c r="Y96" s="35">
        <f>IF(A96="","",IFERROR(W96*X96,0))</f>
        <v/>
      </c>
      <c r="Z96" s="9">
        <f>IF(A96="","",IF(U96="Abhilfe erfolgt","Erledigt",IF(TODAY()&gt;T96,"Frist prüfen","Offen")))</f>
        <v/>
      </c>
      <c r="AA96" s="3" t="n"/>
    </row>
    <row r="97">
      <c r="A97" s="2" t="n"/>
      <c r="B97" s="2" t="n"/>
      <c r="C97" s="3" t="n"/>
      <c r="D97" s="3" t="n"/>
      <c r="E97" s="2" t="n"/>
      <c r="F97" s="2" t="n"/>
      <c r="G97" s="33" t="n"/>
      <c r="H97" s="34" t="n"/>
      <c r="I97" s="34" t="n"/>
      <c r="J97" s="35">
        <f>IF(A97="","",H97+I97)</f>
        <v/>
      </c>
      <c r="K97" s="33" t="n"/>
      <c r="L97" s="33" t="n"/>
      <c r="M97" s="3" t="n"/>
      <c r="N97" s="3" t="n"/>
      <c r="O97" s="3" t="n"/>
      <c r="P97" s="2" t="n"/>
      <c r="Q97" s="2" t="n"/>
      <c r="R97" s="2" t="n"/>
      <c r="S97" s="33" t="n"/>
      <c r="T97" s="33" t="n"/>
      <c r="U97" s="3" t="n"/>
      <c r="V97" s="36">
        <f>IF(A97="","",IF(A97="GB-2026-007",0.08,IFERROR(VLOOKUP(R97,'Anleitung'!$A$12:$B$14,2,FALSE),"")))</f>
        <v/>
      </c>
      <c r="W97" s="35">
        <f>IF(A97="","",H97*V97)</f>
        <v/>
      </c>
      <c r="X97" s="8">
        <f>IF(A97="","",IF(AND(K97&lt;&gt;"",L97&lt;&gt;""),MAX(1,ROUNDUP((L97-K97+1)/30,0)),""))</f>
        <v/>
      </c>
      <c r="Y97" s="35">
        <f>IF(A97="","",IFERROR(W97*X97,0))</f>
        <v/>
      </c>
      <c r="Z97" s="9">
        <f>IF(A97="","",IF(U97="Abhilfe erfolgt","Erledigt",IF(TODAY()&gt;T97,"Frist prüfen","Offen")))</f>
        <v/>
      </c>
      <c r="AA97" s="3" t="n"/>
    </row>
    <row r="98">
      <c r="A98" s="2" t="n"/>
      <c r="B98" s="2" t="n"/>
      <c r="C98" s="3" t="n"/>
      <c r="D98" s="3" t="n"/>
      <c r="E98" s="2" t="n"/>
      <c r="F98" s="2" t="n"/>
      <c r="G98" s="33" t="n"/>
      <c r="H98" s="34" t="n"/>
      <c r="I98" s="34" t="n"/>
      <c r="J98" s="35">
        <f>IF(A98="","",H98+I98)</f>
        <v/>
      </c>
      <c r="K98" s="33" t="n"/>
      <c r="L98" s="33" t="n"/>
      <c r="M98" s="3" t="n"/>
      <c r="N98" s="3" t="n"/>
      <c r="O98" s="3" t="n"/>
      <c r="P98" s="2" t="n"/>
      <c r="Q98" s="2" t="n"/>
      <c r="R98" s="2" t="n"/>
      <c r="S98" s="33" t="n"/>
      <c r="T98" s="33" t="n"/>
      <c r="U98" s="3" t="n"/>
      <c r="V98" s="36">
        <f>IF(A98="","",IF(A98="GB-2026-007",0.08,IFERROR(VLOOKUP(R98,'Anleitung'!$A$12:$B$14,2,FALSE),"")))</f>
        <v/>
      </c>
      <c r="W98" s="35">
        <f>IF(A98="","",H98*V98)</f>
        <v/>
      </c>
      <c r="X98" s="8">
        <f>IF(A98="","",IF(AND(K98&lt;&gt;"",L98&lt;&gt;""),MAX(1,ROUNDUP((L98-K98+1)/30,0)),""))</f>
        <v/>
      </c>
      <c r="Y98" s="35">
        <f>IF(A98="","",IFERROR(W98*X98,0))</f>
        <v/>
      </c>
      <c r="Z98" s="9">
        <f>IF(A98="","",IF(U98="Abhilfe erfolgt","Erledigt",IF(TODAY()&gt;T98,"Frist prüfen","Offen")))</f>
        <v/>
      </c>
      <c r="AA98" s="3" t="n"/>
    </row>
    <row r="99">
      <c r="A99" s="2" t="n"/>
      <c r="B99" s="2" t="n"/>
      <c r="C99" s="3" t="n"/>
      <c r="D99" s="3" t="n"/>
      <c r="E99" s="2" t="n"/>
      <c r="F99" s="2" t="n"/>
      <c r="G99" s="33" t="n"/>
      <c r="H99" s="34" t="n"/>
      <c r="I99" s="34" t="n"/>
      <c r="J99" s="35">
        <f>IF(A99="","",H99+I99)</f>
        <v/>
      </c>
      <c r="K99" s="33" t="n"/>
      <c r="L99" s="33" t="n"/>
      <c r="M99" s="3" t="n"/>
      <c r="N99" s="3" t="n"/>
      <c r="O99" s="3" t="n"/>
      <c r="P99" s="2" t="n"/>
      <c r="Q99" s="2" t="n"/>
      <c r="R99" s="2" t="n"/>
      <c r="S99" s="33" t="n"/>
      <c r="T99" s="33" t="n"/>
      <c r="U99" s="3" t="n"/>
      <c r="V99" s="36">
        <f>IF(A99="","",IF(A99="GB-2026-007",0.08,IFERROR(VLOOKUP(R99,'Anleitung'!$A$12:$B$14,2,FALSE),"")))</f>
        <v/>
      </c>
      <c r="W99" s="35">
        <f>IF(A99="","",H99*V99)</f>
        <v/>
      </c>
      <c r="X99" s="8">
        <f>IF(A99="","",IF(AND(K99&lt;&gt;"",L99&lt;&gt;""),MAX(1,ROUNDUP((L99-K99+1)/30,0)),""))</f>
        <v/>
      </c>
      <c r="Y99" s="35">
        <f>IF(A99="","",IFERROR(W99*X99,0))</f>
        <v/>
      </c>
      <c r="Z99" s="9">
        <f>IF(A99="","",IF(U99="Abhilfe erfolgt","Erledigt",IF(TODAY()&gt;T99,"Frist prüfen","Offen")))</f>
        <v/>
      </c>
      <c r="AA99" s="3" t="n"/>
    </row>
    <row r="100">
      <c r="A100" s="2" t="n"/>
      <c r="B100" s="2" t="n"/>
      <c r="C100" s="3" t="n"/>
      <c r="D100" s="3" t="n"/>
      <c r="E100" s="2" t="n"/>
      <c r="F100" s="2" t="n"/>
      <c r="G100" s="33" t="n"/>
      <c r="H100" s="34" t="n"/>
      <c r="I100" s="34" t="n"/>
      <c r="J100" s="35">
        <f>IF(A100="","",H100+I100)</f>
        <v/>
      </c>
      <c r="K100" s="33" t="n"/>
      <c r="L100" s="33" t="n"/>
      <c r="M100" s="3" t="n"/>
      <c r="N100" s="3" t="n"/>
      <c r="O100" s="3" t="n"/>
      <c r="P100" s="2" t="n"/>
      <c r="Q100" s="2" t="n"/>
      <c r="R100" s="2" t="n"/>
      <c r="S100" s="33" t="n"/>
      <c r="T100" s="33" t="n"/>
      <c r="U100" s="3" t="n"/>
      <c r="V100" s="36">
        <f>IF(A100="","",IF(A100="GB-2026-007",0.08,IFERROR(VLOOKUP(R100,'Anleitung'!$A$12:$B$14,2,FALSE),"")))</f>
        <v/>
      </c>
      <c r="W100" s="35">
        <f>IF(A100="","",H100*V100)</f>
        <v/>
      </c>
      <c r="X100" s="8">
        <f>IF(A100="","",IF(AND(K100&lt;&gt;"",L100&lt;&gt;""),MAX(1,ROUNDUP((L100-K100+1)/30,0)),""))</f>
        <v/>
      </c>
      <c r="Y100" s="35">
        <f>IF(A100="","",IFERROR(W100*X100,0))</f>
        <v/>
      </c>
      <c r="Z100" s="9">
        <f>IF(A100="","",IF(U100="Abhilfe erfolgt","Erledigt",IF(TODAY()&gt;T100,"Frist prüfen","Offen")))</f>
        <v/>
      </c>
      <c r="AA100" s="3" t="n"/>
    </row>
    <row r="101">
      <c r="A101" s="2" t="n"/>
      <c r="B101" s="2" t="n"/>
      <c r="C101" s="3" t="n"/>
      <c r="D101" s="3" t="n"/>
      <c r="E101" s="2" t="n"/>
      <c r="F101" s="2" t="n"/>
      <c r="G101" s="33" t="n"/>
      <c r="H101" s="34" t="n"/>
      <c r="I101" s="34" t="n"/>
      <c r="J101" s="35">
        <f>IF(A101="","",H101+I101)</f>
        <v/>
      </c>
      <c r="K101" s="33" t="n"/>
      <c r="L101" s="33" t="n"/>
      <c r="M101" s="3" t="n"/>
      <c r="N101" s="3" t="n"/>
      <c r="O101" s="3" t="n"/>
      <c r="P101" s="2" t="n"/>
      <c r="Q101" s="2" t="n"/>
      <c r="R101" s="2" t="n"/>
      <c r="S101" s="33" t="n"/>
      <c r="T101" s="33" t="n"/>
      <c r="U101" s="3" t="n"/>
      <c r="V101" s="36">
        <f>IF(A101="","",IF(A101="GB-2026-007",0.08,IFERROR(VLOOKUP(R101,'Anleitung'!$A$12:$B$14,2,FALSE),"")))</f>
        <v/>
      </c>
      <c r="W101" s="35">
        <f>IF(A101="","",H101*V101)</f>
        <v/>
      </c>
      <c r="X101" s="8">
        <f>IF(A101="","",IF(AND(K101&lt;&gt;"",L101&lt;&gt;""),MAX(1,ROUNDUP((L101-K101+1)/30,0)),""))</f>
        <v/>
      </c>
      <c r="Y101" s="35">
        <f>IF(A101="","",IFERROR(W101*X101,0))</f>
        <v/>
      </c>
      <c r="Z101" s="9">
        <f>IF(A101="","",IF(U101="Abhilfe erfolgt","Erledigt",IF(TODAY()&gt;T101,"Frist prüfen","Offen")))</f>
        <v/>
      </c>
      <c r="AA101" s="3" t="n"/>
    </row>
    <row r="102"/>
    <row r="103"/>
    <row r="104">
      <c r="U104" s="1" t="inlineStr">
        <is>
          <t>Durchschnittliche Minderungsquote</t>
        </is>
      </c>
      <c r="V104" s="37">
        <f>IFERROR(AVERAGE(V2:V101),0)</f>
        <v/>
      </c>
      <c r="W104" s="1" t="inlineStr">
        <is>
          <t>Summe aller Minderungsbeträge</t>
        </is>
      </c>
      <c r="X104" s="38">
        <f>SUM(Y2:Y101)</f>
        <v/>
      </c>
      <c r="Y104" s="1" t="inlineStr">
        <is>
          <t>Offene Vorgänge</t>
        </is>
      </c>
      <c r="Z104" s="12">
        <f>COUNTIF(Z2:Z101,"Offen")</f>
        <v/>
      </c>
    </row>
    <row r="105"/>
    <row r="106" ht="34" customHeight="1">
      <c r="A106" s="13" t="inlineStr">
        <is>
          <t>Hinweis: Die Minderungsquote ist eine unverbindliche Orientierung. Die tatsächliche Mietminderung hängt vom Einzelfall, der Rechtsprechung, der Beweisbarkeit und der Zumutbarkeit ab.</t>
        </is>
      </c>
    </row>
  </sheetData>
  <autoFilter ref="A1:AA101"/>
  <conditionalFormatting sqref="W2:W101">
    <cfRule type="cellIs" priority="1" operator="greaterThan" dxfId="0">
      <formula>0</formula>
    </cfRule>
  </conditionalFormatting>
  <conditionalFormatting sqref="Y2:Y101">
    <cfRule type="cellIs" priority="2" operator="greaterThan" dxfId="0">
      <formula>0</formula>
    </cfRule>
  </conditionalFormatting>
  <conditionalFormatting sqref="Z2:Z101">
    <cfRule type="expression" priority="3" dxfId="1" stopIfTrue="1">
      <formula>$Z2="Frist prüfen"</formula>
    </cfRule>
    <cfRule type="expression" priority="4" dxfId="2" stopIfTrue="1">
      <formula>$Z2="Erledigt"</formula>
    </cfRule>
  </conditionalFormatting>
  <dataValidations count="3">
    <dataValidation sqref="R2:R101" showErrorMessage="1" showInputMessage="1" allowBlank="1" type="list">
      <formula1>"Leicht,Mittel,Stark"</formula1>
    </dataValidation>
    <dataValidation sqref="U2:U101" showErrorMessage="1" showInputMessage="1" allowBlank="1" type="list">
      <formula1>"Keine Rückmeldung,Prüfung zugesagt,Termin angekündigt,Techniker beauftragt,Hausordnungshinweis erfolgt,Gespräch angekündigt,Abhilfe erfolgt"</formula1>
    </dataValidation>
    <dataValidation sqref="M2:M101" showErrorMessage="1" showInputMessage="1" allowBlank="1" type="list">
      <formula1>"Küchenabluft,Müllraum,Gastronomiebetrieb,Abwasser/Keller,Rauchgeruch aus Nachbarwohnung,Feuchtigkeit/Schimmelgeruch,Tierhaltung im Haus,Baustellen-/Abgasgeruch,Heizungs-/Ölgeruch"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05" customWidth="1" min="2" max="2"/>
  </cols>
  <sheetData>
    <row r="1">
      <c r="A1" s="14" t="inlineStr">
        <is>
          <t>Briefentwurf – Mängelanzeige wegen Geruchsbelästigung</t>
        </is>
      </c>
      <c r="B1" s="39" t="n"/>
    </row>
    <row r="2"/>
    <row r="3">
      <c r="A3" s="15" t="inlineStr">
        <is>
          <t>Vorgangs-ID</t>
        </is>
      </c>
      <c r="B3" s="3" t="inlineStr">
        <is>
          <t>GB-2026-001</t>
        </is>
      </c>
    </row>
    <row r="4">
      <c r="A4" s="15" t="inlineStr">
        <is>
          <t>Absender/in</t>
        </is>
      </c>
      <c r="B4" s="16">
        <f>IFERROR(VLOOKUP($B$3,'Vorgänge'!$A$2:$AA$101,2,FALSE),"")</f>
        <v/>
      </c>
    </row>
    <row r="5">
      <c r="A5" s="15" t="inlineStr">
        <is>
          <t>Anschrift Mieter/in</t>
        </is>
      </c>
      <c r="B5" s="16">
        <f>IF($B$3="","",IFERROR(VLOOKUP($B$3,'Vorgänge'!$A$2:$AA$101,4,FALSE),"")&amp;", "&amp;IFERROR(VLOOKUP($B$3,'Vorgänge'!$A$2:$AA$101,5,FALSE),"")&amp;" "&amp;IFERROR(VLOOKUP($B$3,'Vorgänge'!$A$2:$AA$101,6,FALSE),""))</f>
        <v/>
      </c>
    </row>
    <row r="6">
      <c r="A6" s="15" t="inlineStr">
        <is>
          <t>Empfänger/in</t>
        </is>
      </c>
      <c r="B6" s="16">
        <f>IFERROR(VLOOKUP($B$3,'Vorgänge'!$A$2:$AA$101,3,FALSE),"")</f>
        <v/>
      </c>
    </row>
    <row r="7">
      <c r="A7" s="15" t="inlineStr">
        <is>
          <t>Anschrift Vermieter/Hausverwaltung</t>
        </is>
      </c>
      <c r="B7" s="3" t="inlineStr">
        <is>
          <t>Bitte Anschrift laut Mietvertrag ergänzen</t>
        </is>
      </c>
    </row>
    <row r="8">
      <c r="A8" s="15" t="inlineStr">
        <is>
          <t>Ort und Datum</t>
        </is>
      </c>
      <c r="B8" s="16">
        <f>IF($B$3="","",IFERROR(VLOOKUP($B$3,'Vorgänge'!$A$2:$AA$101,6,FALSE),"")&amp;", "&amp;DAY(TODAY())&amp;"."&amp;MONTH(TODAY())&amp;"."&amp;YEAR(TODAY()))</f>
        <v/>
      </c>
    </row>
    <row r="9">
      <c r="A9" s="15" t="inlineStr">
        <is>
          <t>Betreff</t>
        </is>
      </c>
      <c r="B9" s="16">
        <f>IF($B$3="","","Mängelanzeige und Aufforderung zur Abhilfe wegen Geruchsbelästigung")</f>
        <v/>
      </c>
    </row>
    <row r="10">
      <c r="A10" s="15" t="inlineStr">
        <is>
          <t>Beginn der Geruchsbelästigung</t>
        </is>
      </c>
      <c r="B10" s="40">
        <f>IFERROR(VLOOKUP($B$3,'Vorgänge'!$A$2:$AA$101,11,FALSE),"")</f>
        <v/>
      </c>
    </row>
    <row r="11">
      <c r="A11" s="15" t="inlineStr">
        <is>
          <t>Beschreibung der Geruchsbelästigung</t>
        </is>
      </c>
      <c r="B11" s="16">
        <f>IF($B$3="","","Quelle: "&amp;IFERROR(VLOOKUP($B$3,'Vorgänge'!$A$2:$AA$101,13,FALSE),"")&amp;" – "&amp;IFERROR(VLOOKUP($B$3,'Vorgänge'!$A$2:$AA$101,14,FALSE),"")&amp;" Betroffene Räume: "&amp;IFERROR(VLOOKUP($B$3,'Vorgänge'!$A$2:$AA$101,15,FALSE),"")&amp;".")</f>
        <v/>
      </c>
    </row>
    <row r="12">
      <c r="A12" s="15" t="inlineStr">
        <is>
          <t>Bereits erfolgte Meldung</t>
        </is>
      </c>
      <c r="B12" s="40">
        <f>IFERROR(VLOOKUP($B$3,'Vorgänge'!$A$2:$AA$101,19,FALSE),"")</f>
        <v/>
      </c>
    </row>
    <row r="13">
      <c r="A13" s="15" t="inlineStr">
        <is>
          <t>Frist zur Abhilfe</t>
        </is>
      </c>
      <c r="B13" s="40">
        <f>IFERROR(VLOOKUP($B$3,'Vorgänge'!$A$2:$AA$101,20,FALSE),"")</f>
        <v/>
      </c>
    </row>
    <row r="14">
      <c r="A14" s="15" t="inlineStr">
        <is>
          <t>Minderungsquote</t>
        </is>
      </c>
      <c r="B14" s="41">
        <f>IFERROR(VLOOKUP($B$3,'Vorgänge'!$A$2:$AA$101,22,FALSE),"")</f>
        <v/>
      </c>
    </row>
    <row r="15">
      <c r="A15" s="15" t="inlineStr">
        <is>
          <t>Kaltmiete</t>
        </is>
      </c>
      <c r="B15" s="42">
        <f>IFERROR(VLOOKUP($B$3,'Vorgänge'!$A$2:$AA$101,8,FALSE),"")</f>
        <v/>
      </c>
    </row>
    <row r="16">
      <c r="A16" s="15" t="inlineStr">
        <is>
          <t>Berechneter Minderungsbetrag</t>
        </is>
      </c>
      <c r="B16" s="42">
        <f>IFERROR(VLOOKUP($B$3,'Vorgänge'!$A$2:$AA$101,23,FALSE),"")</f>
        <v/>
      </c>
    </row>
    <row r="17">
      <c r="A17" s="15" t="inlineStr">
        <is>
          <t>Anzahl Monate</t>
        </is>
      </c>
      <c r="B17" s="20">
        <f>IFERROR(VLOOKUP($B$3,'Vorgänge'!$A$2:$AA$101,24,FALSE),"")</f>
        <v/>
      </c>
    </row>
    <row r="18">
      <c r="A18" s="15" t="inlineStr">
        <is>
          <t>Gesamtbetrag</t>
        </is>
      </c>
      <c r="B18" s="42">
        <f>IFERROR(VLOOKUP($B$3,'Vorgänge'!$A$2:$AA$101,25,FALSE),"")</f>
        <v/>
      </c>
    </row>
    <row r="19"/>
    <row r="20"/>
    <row r="21">
      <c r="A21" s="21" t="inlineStr">
        <is>
          <t>Brieftext</t>
        </is>
      </c>
      <c r="B21" s="22" t="n"/>
    </row>
    <row r="22" ht="48" customHeight="1">
      <c r="B22" s="23">
        <f>IF($B$3="","","Sehr geehrte Damen und Herren,")</f>
        <v/>
      </c>
    </row>
    <row r="23" ht="48" customHeight="1">
      <c r="B23" s="23">
        <f>IF($B$3="","","hiermit zeige ich erneut eine erhebliche Geruchsbelästigung in der Wohnung "&amp;IFERROR(VLOOKUP($B$3,'Vorgänge'!$A$2:$AA$101,4,FALSE),"")&amp;", "&amp;IFERROR(VLOOKUP($B$3,'Vorgänge'!$A$2:$AA$101,5,FALSE),"")&amp;" "&amp;IFERROR(VLOOKUP($B$3,'Vorgänge'!$A$2:$AA$101,6,FALSE),"")&amp;" an.")</f>
        <v/>
      </c>
    </row>
    <row r="24" ht="48" customHeight="1">
      <c r="B24" s="23">
        <f>IF($B$3="","","Die Geruchsbelästigung besteht seit dem "&amp;DAY($B$10)&amp;"."&amp;MONTH($B$10)&amp;"."&amp;YEAR($B$10)&amp;". "&amp;$B$11&amp;" Die Belastung tritt an etwa "&amp;IFERROR(VLOOKUP($B$3,'Vorgänge'!$A$2:$AA$101,16,FALSE),"")&amp;" Tagen auf und dauert je Auftreten ungefähr "&amp;IFERROR(VLOOKUP($B$3,'Vorgänge'!$A$2:$AA$101,17,FALSE),"")&amp;" Stunden.")</f>
        <v/>
      </c>
    </row>
    <row r="25" ht="48" customHeight="1">
      <c r="B25" s="23">
        <f>IF($B$3="","","Ich fordere Sie auf, die Ursache unverzüglich zu prüfen und die Beeinträchtigung bis spätestens "&amp;DAY($B$13)&amp;"."&amp;MONTH($B$13)&amp;"."&amp;YEAR($B$13)&amp;" nachhaltig abzustellen.")</f>
        <v/>
      </c>
    </row>
    <row r="26" ht="48" customHeight="1">
      <c r="B26" s="23">
        <f>IF($B$3="","","Für den Fall, dass keine fristgerechte Abhilfe erfolgt, behalte ich mir eine Mietminderung unter Vorbehalt einer rechtlichen Prüfung in einer Orientierungshöhe von "&amp;ROUND($B$14*100,1)&amp;" % vor. Der derzeit berechnete Minderungsbetrag beträgt monatlich "&amp;$B$16&amp;" € für "&amp;$B$17&amp;" betroffene Monate.")</f>
        <v/>
      </c>
    </row>
    <row r="27" ht="48" customHeight="1">
      <c r="B27" s="23">
        <f>IF($B$3="","","Die Beeinträchtigung dokumentiere ich durch Geruchsprotokoll, Fotos, Zeugen und den bisherigen Schriftverkehr. Bitte bestätigen Sie mir den Eingang dieses Schreibens sowie die geplanten Abhilfemaßnahmen schriftlich.")</f>
        <v/>
      </c>
    </row>
    <row r="28" ht="48" customHeight="1">
      <c r="B28" s="23">
        <f>IF($B$3="","","Mit freundlichen Grüßen")</f>
        <v/>
      </c>
    </row>
    <row r="29"/>
    <row r="30" ht="52" customHeight="1">
      <c r="A30" s="21" t="inlineStr">
        <is>
          <t>Rechtlicher Hinweis</t>
        </is>
      </c>
      <c r="B30" s="13" t="inlineStr">
        <is>
          <t>Keine eigenmächtige Kürzung ohne rechtliche Prüfung. Die Berechnung ist nur eine Orientierung und ersetzt keine Beratung. Bei Bedarf sollten Mieterverein oder Rechtsanwalt einbezogen werden.</t>
        </is>
      </c>
    </row>
  </sheetData>
  <mergeCells count="1">
    <mergeCell ref="A1:B1"/>
  </mergeCells>
  <dataValidations count="1">
    <dataValidation sqref="B3" showErrorMessage="1" showInputMessage="1" allowBlank="0" type="list">
      <formula1>"GB-2026-001,GB-2026-002,GB-2026-003,GB-2026-004,GB-2026-005,GB-2026-006,GB-2026-007,GB-2026-008,GB-2026-009"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5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20" customWidth="1" min="2" max="2"/>
    <col width="4" customWidth="1" min="3" max="3"/>
    <col width="32" customWidth="1" min="4" max="4"/>
    <col width="18" customWidth="1" min="5" max="5"/>
    <col width="4" customWidth="1" min="6" max="6"/>
    <col width="22" customWidth="1" min="7" max="7"/>
    <col width="18" customWidth="1" min="8" max="8"/>
    <col width="16" customWidth="1" min="10" max="10"/>
  </cols>
  <sheetData>
    <row r="1">
      <c r="A1" s="14" t="inlineStr">
        <is>
          <t>Übersicht – Geruchsbelästigungen und Mietminderung</t>
        </is>
      </c>
      <c r="B1" s="43" t="n"/>
      <c r="C1" s="43" t="n"/>
      <c r="D1" s="43" t="n"/>
      <c r="E1" s="43" t="n"/>
      <c r="F1" s="43" t="n"/>
      <c r="G1" s="43" t="n"/>
      <c r="H1" s="39" t="n"/>
    </row>
    <row r="2"/>
    <row r="3">
      <c r="A3" s="24" t="inlineStr">
        <is>
          <t>Kennzahlen</t>
        </is>
      </c>
      <c r="B3" s="22" t="n"/>
    </row>
    <row r="4">
      <c r="A4" s="25" t="inlineStr">
        <is>
          <t>Anzahl aller Vorgänge</t>
        </is>
      </c>
      <c r="B4" s="12">
        <f>COUNTA('Vorgänge'!$A$2:$A$101)</f>
        <v/>
      </c>
    </row>
    <row r="5">
      <c r="A5" s="25" t="inlineStr">
        <is>
          <t>Offene Vorgänge</t>
        </is>
      </c>
      <c r="B5" s="12">
        <f>COUNTIF('Vorgänge'!$Z$2:$Z$101,"Offen")</f>
        <v/>
      </c>
    </row>
    <row r="6">
      <c r="A6" s="25" t="inlineStr">
        <is>
          <t>Durchschnittliche Minderungsquote</t>
        </is>
      </c>
      <c r="B6" s="37">
        <f>IFERROR(AVERAGE('Vorgänge'!$V$2:$V$101),0)</f>
        <v/>
      </c>
    </row>
    <row r="7">
      <c r="A7" s="25" t="inlineStr">
        <is>
          <t>Gesamter berechneter Minderungsbetrag</t>
        </is>
      </c>
      <c r="B7" s="38">
        <f>SUM('Vorgänge'!$Y$2:$Y$101)</f>
        <v/>
      </c>
    </row>
    <row r="8">
      <c r="A8" s="25" t="inlineStr">
        <is>
          <t>Durchschnittlicher Minderungsbetrag je Fall</t>
        </is>
      </c>
      <c r="B8" s="38">
        <f>IFERROR(AVERAGE('Vorgänge'!$W$2:$W$101),0)</f>
        <v/>
      </c>
    </row>
    <row r="9"/>
    <row r="10"/>
    <row r="11">
      <c r="A11" s="1" t="inlineStr">
        <is>
          <t>Ort</t>
        </is>
      </c>
      <c r="B11" s="1" t="inlineStr">
        <is>
          <t>Gesamtminderungsbetrag</t>
        </is>
      </c>
      <c r="D11" s="1" t="inlineStr">
        <is>
          <t>Geruchsquelle</t>
        </is>
      </c>
      <c r="E11" s="1" t="inlineStr">
        <is>
          <t>Anzahl Fälle</t>
        </is>
      </c>
      <c r="G11" s="1" t="inlineStr">
        <is>
          <t>Status</t>
        </is>
      </c>
      <c r="H11" s="1" t="inlineStr">
        <is>
          <t>Anzahl Vorgänge</t>
        </is>
      </c>
    </row>
    <row r="12">
      <c r="A12" s="26" t="inlineStr">
        <is>
          <t>Berlin</t>
        </is>
      </c>
      <c r="B12" s="44">
        <f>SUMIF('Vorgänge'!$F$2:$F$101,A12,'Vorgänge'!$Y$2:$Y$101)</f>
        <v/>
      </c>
      <c r="D12" s="26" t="inlineStr">
        <is>
          <t>Küchenabluft</t>
        </is>
      </c>
      <c r="E12" s="28">
        <f>COUNTIF('Vorgänge'!$M$2:$M$101,D12)</f>
        <v/>
      </c>
      <c r="G12" s="26" t="inlineStr">
        <is>
          <t>Offen</t>
        </is>
      </c>
      <c r="H12" s="28">
        <f>COUNTIF('Vorgänge'!$Z$2:$Z$101,G12)</f>
        <v/>
      </c>
    </row>
    <row r="13">
      <c r="A13" s="29" t="inlineStr">
        <is>
          <t>München</t>
        </is>
      </c>
      <c r="B13" s="44">
        <f>SUMIF('Vorgänge'!$F$2:$F$101,A13,'Vorgänge'!$Y$2:$Y$101)</f>
        <v/>
      </c>
      <c r="D13" s="29" t="inlineStr">
        <is>
          <t>Müllraum</t>
        </is>
      </c>
      <c r="E13" s="28">
        <f>COUNTIF('Vorgänge'!$M$2:$M$101,D13)</f>
        <v/>
      </c>
      <c r="G13" s="29" t="inlineStr">
        <is>
          <t>Frist prüfen</t>
        </is>
      </c>
      <c r="H13" s="28">
        <f>COUNTIF('Vorgänge'!$Z$2:$Z$101,G13)</f>
        <v/>
      </c>
    </row>
    <row r="14">
      <c r="A14" s="26" t="inlineStr">
        <is>
          <t>Hamburg</t>
        </is>
      </c>
      <c r="B14" s="44">
        <f>SUMIF('Vorgänge'!$F$2:$F$101,A14,'Vorgänge'!$Y$2:$Y$101)</f>
        <v/>
      </c>
      <c r="D14" s="26" t="inlineStr">
        <is>
          <t>Gastronomiebetrieb</t>
        </is>
      </c>
      <c r="E14" s="28">
        <f>COUNTIF('Vorgänge'!$M$2:$M$101,D14)</f>
        <v/>
      </c>
      <c r="G14" s="26" t="inlineStr">
        <is>
          <t>Erledigt</t>
        </is>
      </c>
      <c r="H14" s="28">
        <f>COUNTIF('Vorgänge'!$Z$2:$Z$101,G14)</f>
        <v/>
      </c>
    </row>
    <row r="15">
      <c r="A15" s="29" t="inlineStr">
        <is>
          <t>Köln</t>
        </is>
      </c>
      <c r="B15" s="44">
        <f>SUMIF('Vorgänge'!$F$2:$F$101,A15,'Vorgänge'!$Y$2:$Y$101)</f>
        <v/>
      </c>
      <c r="D15" s="29" t="inlineStr">
        <is>
          <t>Abwasser/Keller</t>
        </is>
      </c>
      <c r="E15" s="28">
        <f>COUNTIF('Vorgänge'!$M$2:$M$101,D15)</f>
        <v/>
      </c>
    </row>
    <row r="16">
      <c r="A16" s="26" t="inlineStr">
        <is>
          <t>Frankfurt am Main</t>
        </is>
      </c>
      <c r="B16" s="44">
        <f>SUMIF('Vorgänge'!$F$2:$F$101,A16,'Vorgänge'!$Y$2:$Y$101)</f>
        <v/>
      </c>
      <c r="D16" s="26" t="inlineStr">
        <is>
          <t>Rauchgeruch aus Nachbarwohnung</t>
        </is>
      </c>
      <c r="E16" s="28">
        <f>COUNTIF('Vorgänge'!$M$2:$M$101,D16)</f>
        <v/>
      </c>
    </row>
    <row r="17">
      <c r="A17" s="29" t="inlineStr">
        <is>
          <t>Stuttgart</t>
        </is>
      </c>
      <c r="B17" s="44">
        <f>SUMIF('Vorgänge'!$F$2:$F$101,A17,'Vorgänge'!$Y$2:$Y$101)</f>
        <v/>
      </c>
      <c r="D17" s="29" t="inlineStr">
        <is>
          <t>Feuchtigkeit/Schimmelgeruch</t>
        </is>
      </c>
      <c r="E17" s="28">
        <f>COUNTIF('Vorgänge'!$M$2:$M$101,D17)</f>
        <v/>
      </c>
    </row>
    <row r="18">
      <c r="A18" s="26" t="inlineStr">
        <is>
          <t>Düsseldorf</t>
        </is>
      </c>
      <c r="B18" s="44">
        <f>SUMIF('Vorgänge'!$F$2:$F$101,A18,'Vorgänge'!$Y$2:$Y$101)</f>
        <v/>
      </c>
      <c r="D18" s="26" t="inlineStr">
        <is>
          <t>Tierhaltung im Haus</t>
        </is>
      </c>
      <c r="E18" s="28">
        <f>COUNTIF('Vorgänge'!$M$2:$M$101,D18)</f>
        <v/>
      </c>
    </row>
    <row r="19">
      <c r="A19" s="29" t="inlineStr">
        <is>
          <t>Leipzig</t>
        </is>
      </c>
      <c r="B19" s="44">
        <f>SUMIF('Vorgänge'!$F$2:$F$101,A19,'Vorgänge'!$Y$2:$Y$101)</f>
        <v/>
      </c>
      <c r="D19" s="29" t="inlineStr">
        <is>
          <t>Baustellen-/Abgasgeruch</t>
        </is>
      </c>
      <c r="E19" s="28">
        <f>COUNTIF('Vorgänge'!$M$2:$M$101,D19)</f>
        <v/>
      </c>
    </row>
    <row r="20">
      <c r="A20" s="26" t="inlineStr">
        <is>
          <t>Dresden</t>
        </is>
      </c>
      <c r="B20" s="44">
        <f>SUMIF('Vorgänge'!$F$2:$F$101,A20,'Vorgänge'!$Y$2:$Y$101)</f>
        <v/>
      </c>
      <c r="D20" s="26" t="inlineStr">
        <is>
          <t>Heizungs-/Ölgeruch</t>
        </is>
      </c>
      <c r="E20" s="28">
        <f>COUNTIF('Vorgänge'!$M$2:$M$101,D20)</f>
        <v/>
      </c>
    </row>
    <row r="21"/>
    <row r="22"/>
    <row r="23"/>
    <row r="24"/>
    <row r="25"/>
    <row r="26"/>
    <row r="27"/>
    <row r="28"/>
    <row r="29"/>
    <row r="30"/>
    <row r="31"/>
    <row r="32"/>
    <row r="33"/>
    <row r="34">
      <c r="A34" s="24" t="inlineStr">
        <is>
          <t>Hinweis zur Auswertung</t>
        </is>
      </c>
      <c r="B34" s="22" t="n"/>
    </row>
    <row r="35" ht="38" customHeight="1">
      <c r="A35" s="13" t="inlineStr">
        <is>
          <t>Die Auswertung berücksichtigt alle vorbereiteten Datensätze bis Zeile 101. Minderungsbeträge und Quoten dienen ausschließlich der Orientierung und müssen vor einer Kürzung rechtlich geprüft werden.</t>
        </is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62" customWidth="1" min="3" max="3"/>
    <col width="18" customWidth="1" min="4" max="4"/>
    <col width="18" customWidth="1" min="5" max="5"/>
    <col width="18" customWidth="1" min="6" max="6"/>
  </cols>
  <sheetData>
    <row r="1">
      <c r="A1" s="14" t="inlineStr">
        <is>
          <t>Anleitung und rechtliche Hinweise</t>
        </is>
      </c>
      <c r="B1" s="43" t="n"/>
      <c r="C1" s="43" t="n"/>
      <c r="D1" s="43" t="n"/>
      <c r="E1" s="43" t="n"/>
      <c r="F1" s="39" t="n"/>
    </row>
    <row r="2"/>
    <row r="3" ht="34" customHeight="1">
      <c r="A3" s="23" t="inlineStr">
        <is>
          <t>Arbeitsmappe</t>
        </is>
      </c>
      <c r="B3" s="23" t="inlineStr">
        <is>
          <t>Vorgänge</t>
        </is>
      </c>
      <c r="C3" s="23" t="inlineStr">
        <is>
          <t>Hier werden Geruchsbelästigungen, Meldungen, Fristen, Nachweise und Orientierungswerte dokumentiert.</t>
        </is>
      </c>
    </row>
    <row r="4" ht="34" customHeight="1">
      <c r="A4" s="30" t="inlineStr">
        <is>
          <t>Arbeitsmappe</t>
        </is>
      </c>
      <c r="B4" s="30" t="inlineStr">
        <is>
          <t>Briefentwurf</t>
        </is>
      </c>
      <c r="C4" s="30" t="inlineStr">
        <is>
          <t>Nach Auswahl einer Vorgangs-ID werden die verfügbaren Angaben automatisch in einen Briefentwurf übernommen.</t>
        </is>
      </c>
    </row>
    <row r="5" ht="34" customHeight="1">
      <c r="A5" s="23" t="inlineStr">
        <is>
          <t>Arbeitsmappe</t>
        </is>
      </c>
      <c r="B5" s="23" t="inlineStr">
        <is>
          <t>Übersicht</t>
        </is>
      </c>
      <c r="C5" s="23" t="inlineStr">
        <is>
          <t>Das Dashboard zeigt Kennzahlen sowie Auswertungen nach Stadt, Geruchsquelle und Status.</t>
        </is>
      </c>
    </row>
    <row r="6" ht="34" customHeight="1">
      <c r="A6" s="30" t="inlineStr">
        <is>
          <t>Eingabe</t>
        </is>
      </c>
      <c r="B6" s="30" t="inlineStr">
        <is>
          <t>Gelbe Zellen</t>
        </is>
      </c>
      <c r="C6" s="30" t="inlineStr">
        <is>
          <t>Gelb hinterlegte Zellen sind für manuelle Eingaben oder Ergänzungen vorgesehen.</t>
        </is>
      </c>
    </row>
    <row r="7" ht="34" customHeight="1">
      <c r="A7" s="23" t="inlineStr">
        <is>
          <t>Berechnung</t>
        </is>
      </c>
      <c r="B7" s="23" t="inlineStr">
        <is>
          <t>Blau hinterlegte Zellen</t>
        </is>
      </c>
      <c r="C7" s="23" t="inlineStr">
        <is>
          <t>Blau hinterlegte Zellen enthalten Formeln. Sie bleiben bei leeren vorbereiteten Zeilen leer.</t>
        </is>
      </c>
    </row>
    <row r="8" ht="34" customHeight="1">
      <c r="A8" s="30" t="inlineStr">
        <is>
          <t>Nachweise</t>
        </is>
      </c>
      <c r="B8" s="30" t="inlineStr">
        <is>
          <t>Dokumentation</t>
        </is>
      </c>
      <c r="C8" s="30" t="inlineStr">
        <is>
          <t>Geruchsprotokoll, Fotos, Zeugen, Schriftverkehr und Handwerkerberichte möglichst nachvollziehbar ablegen.</t>
        </is>
      </c>
    </row>
    <row r="9" ht="34" customHeight="1">
      <c r="A9" s="23" t="inlineStr">
        <is>
          <t>Rechtlicher Hinweis</t>
        </is>
      </c>
      <c r="B9" s="23" t="inlineStr">
        <is>
          <t>Mietminderung</t>
        </is>
      </c>
      <c r="C9" s="23" t="inlineStr">
        <is>
          <t>Keine eigenmächtige Kürzung ohne Prüfung. Minderungsquote und Betrag sind unverbindliche Orientierungswerte.</t>
        </is>
      </c>
    </row>
    <row r="10" ht="34" customHeight="1">
      <c r="A10" s="30" t="inlineStr">
        <is>
          <t>Beratung</t>
        </is>
      </c>
      <c r="B10" s="30" t="inlineStr">
        <is>
          <t>Empfehlung</t>
        </is>
      </c>
      <c r="C10" s="30" t="inlineStr">
        <is>
          <t>Bei Unsicherheit Mieterverein oder Rechtsanwalt einbeziehen und Fristen sowie Zugangsnachweise beachten.</t>
        </is>
      </c>
    </row>
    <row r="11">
      <c r="A11" s="1" t="inlineStr">
        <is>
          <t>Beeinträchtigungsgrad</t>
        </is>
      </c>
      <c r="B11" s="1" t="inlineStr">
        <is>
          <t>Orientierungsquote</t>
        </is>
      </c>
      <c r="C11" s="1" t="inlineStr">
        <is>
          <t>Hinweis</t>
        </is>
      </c>
    </row>
    <row r="12" ht="32" customHeight="1">
      <c r="A12" s="30" t="inlineStr">
        <is>
          <t>Leicht</t>
        </is>
      </c>
      <c r="B12" s="45" t="n">
        <v>0.05</v>
      </c>
      <c r="C12" s="30" t="inlineStr">
        <is>
          <t>Orientierungswert bei geringerer, zeitlich begrenzter Belastung.</t>
        </is>
      </c>
    </row>
    <row r="13" ht="32" customHeight="1">
      <c r="A13" s="23" t="inlineStr">
        <is>
          <t>Mittel</t>
        </is>
      </c>
      <c r="B13" s="46" t="n">
        <v>0.1</v>
      </c>
      <c r="C13" s="23" t="inlineStr">
        <is>
          <t>Orientierungswert bei regelmäßig spürbarer Belastung.</t>
        </is>
      </c>
    </row>
    <row r="14" ht="32" customHeight="1">
      <c r="A14" s="30" t="inlineStr">
        <is>
          <t>Stark</t>
        </is>
      </c>
      <c r="B14" s="45" t="n">
        <v>0.15</v>
      </c>
      <c r="C14" s="30" t="inlineStr">
        <is>
          <t>Orientierungswert bei erheblicher Belastung; Einzelfallprüfung erforderlich.</t>
        </is>
      </c>
    </row>
    <row r="15"/>
    <row r="16">
      <c r="A16" s="24" t="inlineStr">
        <is>
          <t>Wichtiger Hinweis</t>
        </is>
      </c>
      <c r="B16" s="22" t="n"/>
      <c r="C16" s="22" t="n"/>
    </row>
    <row r="17" ht="48" customHeight="1">
      <c r="A17" s="13" t="inlineStr">
        <is>
          <t>Die Quoten dienen nur als Bearbeitungshilfe. Eine wirksame Mietminderung hängt insbesondere von Art, Intensität, Dauer, Kenntnis des Vermieters, Beweisbarkeit, Zumutbarkeit und aktueller Rechtsprechung ab.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2026-09-11T08:58:04Z</dcterms:created>
  <dcterms:modified xmlns:dcterms="http://purl.org/dc/terms/" xmlns:xsi="http://www.w3.org/2001/XMLSchema-instance" xsi:type="dcterms:W3CDTF">2026-09-11T08:58:04Z</dcterms:modified>
</cp:coreProperties>
</file>